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6" yWindow="65224" windowWidth="11892" windowHeight="8196" tabRatio="890" firstSheet="5" activeTab="5"/>
  </bookViews>
  <sheets>
    <sheet name="расчет на 2013г." sheetId="1" r:id="rId1"/>
    <sheet name="на2015год" sheetId="2" r:id="rId2"/>
    <sheet name="на 2016" sheetId="3" r:id="rId3"/>
    <sheet name="2016" sheetId="4" r:id="rId4"/>
    <sheet name="к бюд 2016 год" sheetId="5" r:id="rId5"/>
    <sheet name="2019 0511" sheetId="6" r:id="rId6"/>
  </sheets>
  <definedNames>
    <definedName name="_xlnm.Print_Area" localSheetId="5">'2019 0511'!$A$1:$J$50</definedName>
  </definedNames>
  <calcPr fullCalcOnLoad="1"/>
</workbook>
</file>

<file path=xl/sharedStrings.xml><?xml version="1.0" encoding="utf-8"?>
<sst xmlns="http://schemas.openxmlformats.org/spreadsheetml/2006/main" count="456" uniqueCount="101">
  <si>
    <t>Расчет дотации на выравнивание бюджетной обеспеченности поселений МО "Мелекесский район" Ульяновской области</t>
  </si>
  <si>
    <t>на 2013 год</t>
  </si>
  <si>
    <t>Новомайнское г/поселение</t>
  </si>
  <si>
    <t>Мулловское г/поселение</t>
  </si>
  <si>
    <t>Лебяжинское с/поселение</t>
  </si>
  <si>
    <t>Старосахчинское с/поселение</t>
  </si>
  <si>
    <t>Тиинское с/поселение</t>
  </si>
  <si>
    <t>Новоселкинское с/поселение</t>
  </si>
  <si>
    <t>Николочеремшанское с/поселение</t>
  </si>
  <si>
    <t>Рязановское с/поселение</t>
  </si>
  <si>
    <t>итого по поселениям</t>
  </si>
  <si>
    <t>Примечание</t>
  </si>
  <si>
    <t>Численность населения на 01.01.2009г., чел.</t>
  </si>
  <si>
    <t>Расчет доходного потенциала</t>
  </si>
  <si>
    <t>Налоги по репрезентативной системе, т.р.</t>
  </si>
  <si>
    <t>Основные налоги</t>
  </si>
  <si>
    <t>Налог на доходы физических лиц</t>
  </si>
  <si>
    <t>Налог на имущество физических лиц</t>
  </si>
  <si>
    <t>Земельный налог</t>
  </si>
  <si>
    <t>ИТОГО налоговый  потенциал, т.р.</t>
  </si>
  <si>
    <t>Дотация из бюджета района за счет субвенции из областного бюджета, т.р.</t>
  </si>
  <si>
    <t>Д=Субвенция / Численность населения в поселениях * Численность поселения</t>
  </si>
  <si>
    <t>Итого доходный потенциал, т.р.</t>
  </si>
  <si>
    <t>ДП = Налог.потенциал + дотация из бюджета области</t>
  </si>
  <si>
    <t>доходный потенциал на одного человека</t>
  </si>
  <si>
    <t>Индекс доходного потенциала (ИДП)</t>
  </si>
  <si>
    <t>ИДП=(ДПпос/числ пос)/(ДП общий/числ.общ)</t>
  </si>
  <si>
    <t>Расчет бюджетных расходов</t>
  </si>
  <si>
    <t>Расходы по репрезентативной системе, т.р.</t>
  </si>
  <si>
    <t>Доля расходов в составе репрезентивной системы</t>
  </si>
  <si>
    <t>Органы местного самоуправления</t>
  </si>
  <si>
    <t>Содержание объектов культуры</t>
  </si>
  <si>
    <t>Итого расходов по репрезентативной системе</t>
  </si>
  <si>
    <t>коэффициент масштаба, КМ (численность постоянного населения поселений)</t>
  </si>
  <si>
    <t>КМ=(0.6*Чпос.+0.4*Чср)/Чпос.Чср.=Чрайона/8</t>
  </si>
  <si>
    <t>Чср.-средняя численность населения</t>
  </si>
  <si>
    <t>коэффициент дисперсности расселения  КД,(удельный вес постоянного населения поселений, проживающего в населенных пунктах численностью населения  менее 500 человек, в общей численности населения поселений)</t>
  </si>
  <si>
    <t>КД=1+Численность малых сел/Численность поселения</t>
  </si>
  <si>
    <t>Численность постоянного населения поселений, проживающего в населенных пунктах численностью населения  менее 500 человек, в общей численности населения поселений</t>
  </si>
  <si>
    <t>Расходы на оплату коммунальных услуг бюджетным учреждениям</t>
  </si>
  <si>
    <t>Коэффициент стоимости предоставления коммунальных услуг бюджетным учреждениям поселения</t>
  </si>
  <si>
    <t>КСКУ=(РОКУпос./Чпос.)/РОКУрайона/Чрайона</t>
  </si>
  <si>
    <t>Индекс бюджетных расходов поселений по отдельному виду расходов (ИБР)</t>
  </si>
  <si>
    <t>Доля расходов *ИБР по виду расходов</t>
  </si>
  <si>
    <t>КМпос./КМ ср.</t>
  </si>
  <si>
    <t>КДпос./КДср.</t>
  </si>
  <si>
    <t>Бюджетная обеспеченность</t>
  </si>
  <si>
    <t>ИДП/ИБР</t>
  </si>
  <si>
    <t>Объем дотаций из бюджета МО "Мелекесский район" за счет собственных средств</t>
  </si>
  <si>
    <t>Д=РФФПП*Тбо/Т</t>
  </si>
  <si>
    <t>Дотация на выравнивание уровня бюджетной обеспеченности Д</t>
  </si>
  <si>
    <t>БО макс. - БО пос.</t>
  </si>
  <si>
    <t>Объем средств, необходимый до доведения БОпос. до БО макс., Тбо., т.р.</t>
  </si>
  <si>
    <t>Прогноз собственных доходов, т.р</t>
  </si>
  <si>
    <t>Прогноз собственных доходов на 1 человека</t>
  </si>
  <si>
    <t>руб.</t>
  </si>
  <si>
    <t>Всего дотация</t>
  </si>
  <si>
    <t>Расчет дотации на выравнивание бюджетной обеспеченности поселений произведен согласно Методики расчета дотаций на выравнивание бюджетной обеспеченности поселений из районных фондов финансовой поддержки поселений в части фондов, формируемых за счет собственных доходов муниципальных районов (Приложение7 к Закону Ульяновской области от 07.10.2011 №142-ЗО "О межбюджетных отношениях в Ульяновской области"</t>
  </si>
  <si>
    <t>Начальник Финансового управления администрации МО "Мелекесский район"                                                                     А.В.Щукин</t>
  </si>
  <si>
    <t>Фомина Валентина Владимировна 8(84235)26916</t>
  </si>
  <si>
    <t>на 2015 год                                                 (расче к бюджету обл. дот)</t>
  </si>
  <si>
    <t>Численность населения на 01.01.2014г., чел.</t>
  </si>
  <si>
    <t>Содержание пожарных депо (баня в Рязанове)</t>
  </si>
  <si>
    <t>МКУ Техническое обслуживание</t>
  </si>
  <si>
    <t>КМ=(0.6*Чпос.+0.4*Чср)/Чпос.</t>
  </si>
  <si>
    <t>Чср.=Числ.района/8</t>
  </si>
  <si>
    <t>Содержание пожарных депо</t>
  </si>
  <si>
    <t>расходы кул./числ.нас.пос.</t>
  </si>
  <si>
    <t>Бюджетная обеспеченность по каждому пос. ИДП/ИБР</t>
  </si>
  <si>
    <t>У1=(БО2max+БО2min)/4</t>
  </si>
  <si>
    <t>У1=(БО1max+БО1min)/2</t>
  </si>
  <si>
    <t>Дотация на выравнивание уровня расчётной бюджетной обеспеченности Д</t>
  </si>
  <si>
    <t>Дотj=Дот1j+Дот2j</t>
  </si>
  <si>
    <t>дотация 2 часть</t>
  </si>
  <si>
    <t>Дот2j=(РФФПП+Боjmax)/2</t>
  </si>
  <si>
    <t>дотация 1 часть</t>
  </si>
  <si>
    <t>Дот1j=Т1j*П</t>
  </si>
  <si>
    <t>П=0,2</t>
  </si>
  <si>
    <t>Утверждаем НПА</t>
  </si>
  <si>
    <r>
      <t>Объем средств, необх. до доведения БОпос. до БО сред.,  т.р.</t>
    </r>
    <r>
      <rPr>
        <b/>
        <sz val="8"/>
        <rFont val="Times New Roman"/>
        <family val="1"/>
      </rPr>
      <t xml:space="preserve"> (Т1j) </t>
    </r>
  </si>
  <si>
    <t>Т1j=(ПДпмр/Н)*(У1-БО1j)*ИБРj*Нj</t>
  </si>
  <si>
    <t>Уровень бюджетной обеспеченности пос. после распределения 1 ч.дот. Из РФФПП (БО1j)</t>
  </si>
  <si>
    <r>
      <t>БО1j=БОj+Дот1j/ИБРj*Нj*(</t>
    </r>
    <r>
      <rPr>
        <sz val="10"/>
        <rFont val="Calibri"/>
        <family val="2"/>
      </rPr>
      <t>∑ДП</t>
    </r>
    <r>
      <rPr>
        <sz val="10"/>
        <rFont val="Times New Roman"/>
        <family val="1"/>
      </rPr>
      <t>j+∑Дот1j)/Н)</t>
    </r>
  </si>
  <si>
    <t>Объем средств, необх. до доведения уровня БОпос. Довторого уровня БО  (Т2j)</t>
  </si>
  <si>
    <t>Т2j=(ПДпмр/Н)*(1,0-БО1j)*ИБРj*Нj</t>
  </si>
  <si>
    <t>П=0,4</t>
  </si>
  <si>
    <t>20% от доходов</t>
  </si>
  <si>
    <t>на 2016 год                                                 (расче к бюджету обл. дот)</t>
  </si>
  <si>
    <t>Содержание пожарных депо</t>
  </si>
  <si>
    <t>на 2016 год                                                 (расчет к бюджету обл. дот)</t>
  </si>
  <si>
    <t>Дот2j=(РФФПП+SUMдот1j)*T2j/T2</t>
  </si>
  <si>
    <t>П=0,1</t>
  </si>
  <si>
    <t>Объем средств, необх. до доведения уровня БОпос. До второго уровня БО  (Т2j)</t>
  </si>
  <si>
    <t>(расчет к бюджету)</t>
  </si>
  <si>
    <r>
      <t>Объем средств, необх. до доведения БОпос. до БО сред.,  т.р.</t>
    </r>
    <r>
      <rPr>
        <b/>
        <sz val="12"/>
        <rFont val="Times New Roman"/>
        <family val="1"/>
      </rPr>
      <t xml:space="preserve"> (Т1j) </t>
    </r>
  </si>
  <si>
    <t>Начальник Финансового управления администрации МО "Мелекесский район"</t>
  </si>
  <si>
    <t>А.В.Щукин</t>
  </si>
  <si>
    <t>Численность населения на 01.01.2018г., чел.</t>
  </si>
  <si>
    <r>
      <t>БО1j=БОj+Дот1j/ИБРj*Нj*(∑ДП</t>
    </r>
    <r>
      <rPr>
        <sz val="12"/>
        <rFont val="Times New Roman"/>
        <family val="1"/>
      </rPr>
      <t>j+∑Дот1j)/Н)</t>
    </r>
  </si>
  <si>
    <t>Расчет дотации на выравнивание бюджетной обеспеченности поселений МО "Мелекесский район" Ульяновской области согласно Закона Ульяновской области № 142-ЗО от 4.10.2011 "О межбюджетных отношениях в Ульяновской области"   на 2019год</t>
  </si>
  <si>
    <t>Дебердеева Резеда Гакивовна 8(84235)26916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</si>
</sst>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  <numFmt numFmtId="168" formatCode="0.0000"/>
    <numFmt numFmtId="169" formatCode="#,##0.00000"/>
  </numFmts>
  <fonts count="6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4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7"/>
      <color indexed="45"/>
      <name val="Times New Roman"/>
      <family val="1"/>
    </font>
    <font>
      <b/>
      <sz val="8"/>
      <color indexed="45"/>
      <name val="Times New Roman"/>
      <family val="1"/>
    </font>
    <font>
      <sz val="10"/>
      <color indexed="45"/>
      <name val="Times New Roman"/>
      <family val="1"/>
    </font>
    <font>
      <sz val="12"/>
      <color indexed="55"/>
      <name val="Calibri"/>
      <family val="2"/>
    </font>
    <font>
      <sz val="12"/>
      <color indexed="45"/>
      <name val="Calibri"/>
      <family val="2"/>
    </font>
    <font>
      <b/>
      <sz val="12"/>
      <color indexed="45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67" fontId="4" fillId="0" borderId="10" xfId="0" applyNumberFormat="1" applyFont="1" applyBorder="1" applyAlignment="1">
      <alignment/>
    </xf>
    <xf numFmtId="0" fontId="7" fillId="34" borderId="10" xfId="0" applyFont="1" applyFill="1" applyBorder="1" applyAlignment="1">
      <alignment vertical="top" wrapText="1"/>
    </xf>
    <xf numFmtId="167" fontId="4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7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167" fontId="2" fillId="0" borderId="10" xfId="0" applyNumberFormat="1" applyFont="1" applyBorder="1" applyAlignment="1">
      <alignment horizontal="center"/>
    </xf>
    <xf numFmtId="168" fontId="6" fillId="33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 horizontal="right" wrapText="1"/>
    </xf>
    <xf numFmtId="167" fontId="5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167" fontId="9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164" fontId="6" fillId="35" borderId="10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167" fontId="9" fillId="0" borderId="10" xfId="0" applyNumberFormat="1" applyFont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168" fontId="6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168" fontId="8" fillId="33" borderId="10" xfId="0" applyNumberFormat="1" applyFont="1" applyFill="1" applyBorder="1" applyAlignment="1">
      <alignment/>
    </xf>
    <xf numFmtId="168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68" fontId="59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64" fontId="2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165" fontId="6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167" fontId="4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167" fontId="6" fillId="0" borderId="11" xfId="0" applyNumberFormat="1" applyFont="1" applyFill="1" applyBorder="1" applyAlignment="1">
      <alignment horizontal="center"/>
    </xf>
    <xf numFmtId="167" fontId="2" fillId="0" borderId="11" xfId="0" applyNumberFormat="1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right" wrapText="1"/>
    </xf>
    <xf numFmtId="167" fontId="57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 wrapText="1"/>
    </xf>
    <xf numFmtId="167" fontId="9" fillId="0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/>
    </xf>
    <xf numFmtId="167" fontId="6" fillId="0" borderId="11" xfId="0" applyNumberFormat="1" applyFont="1" applyFill="1" applyBorder="1" applyAlignment="1">
      <alignment horizontal="center" wrapText="1"/>
    </xf>
    <xf numFmtId="167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68" fontId="10" fillId="0" borderId="11" xfId="0" applyNumberFormat="1" applyFont="1" applyFill="1" applyBorder="1" applyAlignment="1">
      <alignment/>
    </xf>
    <xf numFmtId="168" fontId="2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168" fontId="8" fillId="0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8" fontId="59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7" borderId="11" xfId="0" applyFont="1" applyFill="1" applyBorder="1" applyAlignment="1">
      <alignment wrapText="1"/>
    </xf>
    <xf numFmtId="164" fontId="6" fillId="37" borderId="11" xfId="0" applyNumberFormat="1" applyFont="1" applyFill="1" applyBorder="1" applyAlignment="1">
      <alignment/>
    </xf>
    <xf numFmtId="167" fontId="2" fillId="37" borderId="11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68" fontId="6" fillId="0" borderId="11" xfId="0" applyNumberFormat="1" applyFont="1" applyFill="1" applyBorder="1" applyAlignment="1">
      <alignment/>
    </xf>
    <xf numFmtId="166" fontId="59" fillId="0" borderId="11" xfId="0" applyNumberFormat="1" applyFont="1" applyFill="1" applyBorder="1" applyAlignment="1">
      <alignment/>
    </xf>
    <xf numFmtId="2" fontId="59" fillId="0" borderId="11" xfId="0" applyNumberFormat="1" applyFont="1" applyFill="1" applyBorder="1" applyAlignment="1">
      <alignment/>
    </xf>
    <xf numFmtId="0" fontId="6" fillId="37" borderId="11" xfId="0" applyFont="1" applyFill="1" applyBorder="1" applyAlignment="1">
      <alignment vertical="top" wrapText="1"/>
    </xf>
    <xf numFmtId="4" fontId="6" fillId="37" borderId="11" xfId="0" applyNumberFormat="1" applyFont="1" applyFill="1" applyBorder="1" applyAlignment="1">
      <alignment/>
    </xf>
    <xf numFmtId="165" fontId="4" fillId="37" borderId="11" xfId="0" applyNumberFormat="1" applyFont="1" applyFill="1" applyBorder="1" applyAlignment="1">
      <alignment/>
    </xf>
    <xf numFmtId="0" fontId="6" fillId="37" borderId="11" xfId="0" applyFont="1" applyFill="1" applyBorder="1" applyAlignment="1">
      <alignment horizontal="left" vertical="top" wrapText="1"/>
    </xf>
    <xf numFmtId="166" fontId="2" fillId="37" borderId="0" xfId="0" applyNumberFormat="1" applyFont="1" applyFill="1" applyAlignment="1">
      <alignment/>
    </xf>
    <xf numFmtId="0" fontId="4" fillId="37" borderId="11" xfId="0" applyFont="1" applyFill="1" applyBorder="1" applyAlignment="1">
      <alignment wrapText="1"/>
    </xf>
    <xf numFmtId="164" fontId="2" fillId="37" borderId="11" xfId="0" applyNumberFormat="1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4" fontId="8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165" fontId="6" fillId="37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167" fontId="15" fillId="0" borderId="11" xfId="0" applyNumberFormat="1" applyFont="1" applyFill="1" applyBorder="1" applyAlignment="1">
      <alignment horizontal="center"/>
    </xf>
    <xf numFmtId="167" fontId="60" fillId="0" borderId="11" xfId="0" applyNumberFormat="1" applyFont="1" applyFill="1" applyBorder="1" applyAlignment="1">
      <alignment horizontal="center" wrapText="1"/>
    </xf>
    <xf numFmtId="167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164" fontId="14" fillId="0" borderId="11" xfId="0" applyNumberFormat="1" applyFont="1" applyFill="1" applyBorder="1" applyAlignment="1">
      <alignment/>
    </xf>
    <xf numFmtId="167" fontId="14" fillId="0" borderId="11" xfId="0" applyNumberFormat="1" applyFont="1" applyFill="1" applyBorder="1" applyAlignment="1">
      <alignment/>
    </xf>
    <xf numFmtId="168" fontId="15" fillId="0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 wrapText="1"/>
    </xf>
    <xf numFmtId="168" fontId="14" fillId="0" borderId="11" xfId="0" applyNumberFormat="1" applyFont="1" applyFill="1" applyBorder="1" applyAlignment="1">
      <alignment/>
    </xf>
    <xf numFmtId="168" fontId="15" fillId="0" borderId="11" xfId="0" applyNumberFormat="1" applyFont="1" applyFill="1" applyBorder="1" applyAlignment="1">
      <alignment/>
    </xf>
    <xf numFmtId="168" fontId="60" fillId="0" borderId="11" xfId="0" applyNumberFormat="1" applyFont="1" applyFill="1" applyBorder="1" applyAlignment="1">
      <alignment/>
    </xf>
    <xf numFmtId="168" fontId="61" fillId="0" borderId="11" xfId="0" applyNumberFormat="1" applyFont="1" applyFill="1" applyBorder="1" applyAlignment="1">
      <alignment/>
    </xf>
    <xf numFmtId="166" fontId="15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0" fontId="10" fillId="0" borderId="0" xfId="0" applyFont="1" applyAlignment="1">
      <alignment horizontal="left" vertical="top"/>
    </xf>
    <xf numFmtId="1" fontId="0" fillId="0" borderId="0" xfId="0" applyNumberFormat="1" applyAlignment="1">
      <alignment/>
    </xf>
    <xf numFmtId="166" fontId="12" fillId="0" borderId="11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167" fontId="15" fillId="0" borderId="12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62" fillId="0" borderId="11" xfId="0" applyNumberFormat="1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1" fontId="0" fillId="0" borderId="11" xfId="0" applyNumberFormat="1" applyFill="1" applyBorder="1" applyAlignment="1">
      <alignment/>
    </xf>
    <xf numFmtId="167" fontId="15" fillId="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167" fontId="15" fillId="38" borderId="12" xfId="0" applyNumberFormat="1" applyFont="1" applyFill="1" applyBorder="1" applyAlignment="1">
      <alignment horizontal="center"/>
    </xf>
    <xf numFmtId="1" fontId="15" fillId="38" borderId="11" xfId="0" applyNumberFormat="1" applyFont="1" applyFill="1" applyBorder="1" applyAlignment="1">
      <alignment/>
    </xf>
    <xf numFmtId="1" fontId="0" fillId="38" borderId="11" xfId="0" applyNumberFormat="1" applyFill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63" fillId="0" borderId="0" xfId="0" applyFont="1" applyFill="1" applyAlignment="1">
      <alignment horizontal="left" vertical="top"/>
    </xf>
    <xf numFmtId="169" fontId="0" fillId="0" borderId="0" xfId="0" applyNumberFormat="1" applyFill="1" applyAlignment="1">
      <alignment/>
    </xf>
    <xf numFmtId="165" fontId="15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 wrapText="1"/>
    </xf>
    <xf numFmtId="165" fontId="15" fillId="0" borderId="11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38" borderId="0" xfId="0" applyNumberForma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38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165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15" fillId="38" borderId="14" xfId="0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2" fontId="14" fillId="0" borderId="15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166" fontId="15" fillId="0" borderId="16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166" fontId="15" fillId="0" borderId="15" xfId="0" applyNumberFormat="1" applyFont="1" applyFill="1" applyBorder="1" applyAlignment="1">
      <alignment/>
    </xf>
    <xf numFmtId="165" fontId="14" fillId="0" borderId="16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left" vertical="top"/>
    </xf>
    <xf numFmtId="165" fontId="14" fillId="0" borderId="18" xfId="0" applyNumberFormat="1" applyFont="1" applyFill="1" applyBorder="1" applyAlignment="1">
      <alignment/>
    </xf>
    <xf numFmtId="165" fontId="14" fillId="0" borderId="19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left" vertical="top" wrapText="1"/>
    </xf>
    <xf numFmtId="165" fontId="14" fillId="0" borderId="18" xfId="0" applyNumberFormat="1" applyFont="1" applyFill="1" applyBorder="1" applyAlignment="1">
      <alignment vertical="center"/>
    </xf>
    <xf numFmtId="165" fontId="14" fillId="0" borderId="19" xfId="0" applyNumberFormat="1" applyFont="1" applyFill="1" applyBorder="1" applyAlignment="1">
      <alignment vertical="center"/>
    </xf>
    <xf numFmtId="168" fontId="17" fillId="0" borderId="10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="90" zoomScaleNormal="90" zoomScalePageLayoutView="0" workbookViewId="0" topLeftCell="A1">
      <selection activeCell="H30" sqref="H30"/>
    </sheetView>
  </sheetViews>
  <sheetFormatPr defaultColWidth="9.28125" defaultRowHeight="13.5" customHeight="1"/>
  <cols>
    <col min="1" max="1" width="48.28125" style="66" customWidth="1"/>
    <col min="2" max="2" width="12.7109375" style="66" customWidth="1"/>
    <col min="3" max="3" width="11.140625" style="66" customWidth="1"/>
    <col min="4" max="4" width="11.28125" style="66" customWidth="1"/>
    <col min="5" max="5" width="11.00390625" style="66" customWidth="1"/>
    <col min="6" max="6" width="11.28125" style="66" customWidth="1"/>
    <col min="7" max="7" width="11.8515625" style="66" customWidth="1"/>
    <col min="8" max="8" width="12.140625" style="66" customWidth="1"/>
    <col min="9" max="9" width="11.28125" style="66" customWidth="1"/>
    <col min="10" max="10" width="12.8515625" style="66" customWidth="1"/>
    <col min="11" max="11" width="33.8515625" style="66" customWidth="1"/>
    <col min="12" max="16384" width="9.28125" style="66" customWidth="1"/>
  </cols>
  <sheetData>
    <row r="1" spans="1:11" ht="13.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3.5" customHeight="1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3.5" customHeight="1">
      <c r="A3" s="67"/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9" t="s">
        <v>10</v>
      </c>
      <c r="K3" s="68" t="s">
        <v>11</v>
      </c>
    </row>
    <row r="4" spans="1:11" ht="13.5" customHeight="1">
      <c r="A4" s="67" t="s">
        <v>12</v>
      </c>
      <c r="B4" s="70">
        <v>7031</v>
      </c>
      <c r="C4" s="70">
        <v>6405</v>
      </c>
      <c r="D4" s="70">
        <v>4378</v>
      </c>
      <c r="E4" s="70">
        <v>2126</v>
      </c>
      <c r="F4" s="70">
        <v>4547</v>
      </c>
      <c r="G4" s="70">
        <v>5439</v>
      </c>
      <c r="H4" s="70">
        <v>2408</v>
      </c>
      <c r="I4" s="70">
        <v>4016</v>
      </c>
      <c r="J4" s="71">
        <f>B4+C4+D4+E4+F4+G4+H4+I4</f>
        <v>36350</v>
      </c>
      <c r="K4" s="72"/>
    </row>
    <row r="5" spans="1:11" ht="13.5" customHeight="1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9"/>
      <c r="K5" s="73"/>
    </row>
    <row r="6" spans="1:11" ht="13.5" customHeight="1">
      <c r="A6" s="74" t="s">
        <v>14</v>
      </c>
      <c r="B6" s="73"/>
      <c r="C6" s="73"/>
      <c r="D6" s="73"/>
      <c r="E6" s="73"/>
      <c r="F6" s="73"/>
      <c r="G6" s="73"/>
      <c r="H6" s="73"/>
      <c r="I6" s="73"/>
      <c r="J6" s="75"/>
      <c r="K6" s="73" t="s">
        <v>15</v>
      </c>
    </row>
    <row r="7" spans="1:11" ht="13.5" customHeight="1">
      <c r="A7" s="76" t="s">
        <v>16</v>
      </c>
      <c r="B7" s="77">
        <v>10650</v>
      </c>
      <c r="C7" s="77">
        <v>4800</v>
      </c>
      <c r="D7" s="77">
        <v>1420</v>
      </c>
      <c r="E7" s="77">
        <v>2250</v>
      </c>
      <c r="F7" s="77">
        <v>2000</v>
      </c>
      <c r="G7" s="77">
        <v>5100</v>
      </c>
      <c r="H7" s="77">
        <v>1011.3</v>
      </c>
      <c r="I7" s="77">
        <v>6050</v>
      </c>
      <c r="J7" s="78">
        <f>SUM(B7:I7)</f>
        <v>33281.3</v>
      </c>
      <c r="K7" s="73"/>
    </row>
    <row r="8" spans="1:11" ht="13.5" customHeight="1">
      <c r="A8" s="76" t="s">
        <v>17</v>
      </c>
      <c r="B8" s="77">
        <v>530</v>
      </c>
      <c r="C8" s="77">
        <v>500</v>
      </c>
      <c r="D8" s="77">
        <v>540</v>
      </c>
      <c r="E8" s="77">
        <v>150</v>
      </c>
      <c r="F8" s="77">
        <v>750</v>
      </c>
      <c r="G8" s="77">
        <v>170</v>
      </c>
      <c r="H8" s="77">
        <v>130</v>
      </c>
      <c r="I8" s="77">
        <v>170</v>
      </c>
      <c r="J8" s="78">
        <f>SUM(B8:I8)</f>
        <v>2940</v>
      </c>
      <c r="K8" s="73"/>
    </row>
    <row r="9" spans="1:11" ht="13.5" customHeight="1">
      <c r="A9" s="76" t="s">
        <v>18</v>
      </c>
      <c r="B9" s="77">
        <v>2200</v>
      </c>
      <c r="C9" s="77">
        <v>1700</v>
      </c>
      <c r="D9" s="77">
        <v>2200</v>
      </c>
      <c r="E9" s="77">
        <v>1000</v>
      </c>
      <c r="F9" s="77">
        <v>2200</v>
      </c>
      <c r="G9" s="77">
        <v>4000</v>
      </c>
      <c r="H9" s="77">
        <v>800</v>
      </c>
      <c r="I9" s="77">
        <v>2676.9</v>
      </c>
      <c r="J9" s="78">
        <f>SUM(B9:I9)</f>
        <v>16776.9</v>
      </c>
      <c r="K9" s="73"/>
    </row>
    <row r="10" spans="1:11" ht="13.5" customHeight="1">
      <c r="A10" s="79" t="s">
        <v>19</v>
      </c>
      <c r="B10" s="78">
        <f aca="true" t="shared" si="0" ref="B10:I10">SUM(B7:B9)</f>
        <v>13380</v>
      </c>
      <c r="C10" s="78">
        <f t="shared" si="0"/>
        <v>7000</v>
      </c>
      <c r="D10" s="78">
        <f t="shared" si="0"/>
        <v>4160</v>
      </c>
      <c r="E10" s="78">
        <f t="shared" si="0"/>
        <v>3400</v>
      </c>
      <c r="F10" s="78">
        <f t="shared" si="0"/>
        <v>4950</v>
      </c>
      <c r="G10" s="78">
        <f t="shared" si="0"/>
        <v>9270</v>
      </c>
      <c r="H10" s="78">
        <f t="shared" si="0"/>
        <v>1941.3</v>
      </c>
      <c r="I10" s="78">
        <f t="shared" si="0"/>
        <v>8896.9</v>
      </c>
      <c r="J10" s="78">
        <f>SUM(B10:I10)</f>
        <v>52998.200000000004</v>
      </c>
      <c r="K10" s="73"/>
    </row>
    <row r="11" spans="1:12" s="122" customFormat="1" ht="13.5" customHeight="1">
      <c r="A11" s="126" t="s">
        <v>20</v>
      </c>
      <c r="B11" s="127">
        <f>I11/I4*B4</f>
        <v>1620.7335083906464</v>
      </c>
      <c r="C11" s="127">
        <f>J11/J4*C4</f>
        <v>1476.4326726272352</v>
      </c>
      <c r="D11" s="127">
        <f>J11/J4*D4</f>
        <v>1009.1838002751031</v>
      </c>
      <c r="E11" s="127">
        <f>J11/J4*E4</f>
        <v>490.0696115543328</v>
      </c>
      <c r="F11" s="127">
        <f>J11/J4*F4</f>
        <v>1048.1404156808803</v>
      </c>
      <c r="G11" s="127">
        <f>J11/J4*G4</f>
        <v>1253.7575810178816</v>
      </c>
      <c r="H11" s="127">
        <f>J11/J4*H4</f>
        <v>555.0741414030261</v>
      </c>
      <c r="I11" s="127">
        <f>J11/J4*I4</f>
        <v>925.738269050894</v>
      </c>
      <c r="J11" s="128">
        <v>8379.13</v>
      </c>
      <c r="K11" s="129" t="s">
        <v>21</v>
      </c>
      <c r="L11" s="130"/>
    </row>
    <row r="12" spans="1:11" ht="13.5" customHeight="1">
      <c r="A12" s="84" t="s">
        <v>22</v>
      </c>
      <c r="B12" s="78">
        <f aca="true" t="shared" si="1" ref="B12:J12">B10+B11</f>
        <v>15000.733508390647</v>
      </c>
      <c r="C12" s="78">
        <f t="shared" si="1"/>
        <v>8476.432672627236</v>
      </c>
      <c r="D12" s="78">
        <f t="shared" si="1"/>
        <v>5169.183800275103</v>
      </c>
      <c r="E12" s="78">
        <f t="shared" si="1"/>
        <v>3890.069611554333</v>
      </c>
      <c r="F12" s="78">
        <f t="shared" si="1"/>
        <v>5998.14041568088</v>
      </c>
      <c r="G12" s="78">
        <f t="shared" si="1"/>
        <v>10523.757581017882</v>
      </c>
      <c r="H12" s="78">
        <f t="shared" si="1"/>
        <v>2496.374141403026</v>
      </c>
      <c r="I12" s="78">
        <f t="shared" si="1"/>
        <v>9822.638269050894</v>
      </c>
      <c r="J12" s="78">
        <f t="shared" si="1"/>
        <v>61377.33</v>
      </c>
      <c r="K12" s="85" t="s">
        <v>23</v>
      </c>
    </row>
    <row r="13" spans="1:11" ht="13.5" customHeight="1">
      <c r="A13" s="73" t="s">
        <v>24</v>
      </c>
      <c r="B13" s="86">
        <f aca="true" t="shared" si="2" ref="B13:I13">B12/B4</f>
        <v>2.1335135127849023</v>
      </c>
      <c r="C13" s="86">
        <f t="shared" si="2"/>
        <v>1.3234086920573358</v>
      </c>
      <c r="D13" s="86">
        <f t="shared" si="2"/>
        <v>1.180718090515099</v>
      </c>
      <c r="E13" s="86">
        <f t="shared" si="2"/>
        <v>1.8297599301760739</v>
      </c>
      <c r="F13" s="86">
        <f t="shared" si="2"/>
        <v>1.3191423830395603</v>
      </c>
      <c r="G13" s="86">
        <f t="shared" si="2"/>
        <v>1.9348699358370807</v>
      </c>
      <c r="H13" s="86">
        <f t="shared" si="2"/>
        <v>1.0367002248351438</v>
      </c>
      <c r="I13" s="86">
        <f t="shared" si="2"/>
        <v>2.445876063010681</v>
      </c>
      <c r="J13" s="86"/>
      <c r="K13" s="85"/>
    </row>
    <row r="14" spans="1:11" ht="13.5" customHeight="1">
      <c r="A14" s="87" t="s">
        <v>25</v>
      </c>
      <c r="B14" s="86">
        <f>(B12*1000/B4)/(J12*1000/J4)</f>
        <v>1.2635482219531413</v>
      </c>
      <c r="C14" s="86">
        <f>(C12*1000/C4)/(J12*1000/J4)</f>
        <v>0.7837731937228966</v>
      </c>
      <c r="D14" s="86">
        <f>(D12*1000/D4)/(J12*1000/J4)</f>
        <v>0.6992663674067258</v>
      </c>
      <c r="E14" s="86">
        <f>(E12*1000/E4)/(J12*1000/J4)</f>
        <v>1.0836537441739529</v>
      </c>
      <c r="F14" s="86">
        <f>(F12*1000/F4)/(J12*1000/J4)</f>
        <v>0.7812465225106406</v>
      </c>
      <c r="G14" s="86">
        <f>(G12*1000/G4)/(J12*1000/J4)</f>
        <v>1.1459039056876192</v>
      </c>
      <c r="H14" s="86">
        <f>(H12*1000/H4)/(J12*1000/J4)</f>
        <v>0.6139734845545981</v>
      </c>
      <c r="I14" s="86">
        <f>(I12*1000/I4)/(J12*1000/J4)</f>
        <v>1.448541259296197</v>
      </c>
      <c r="J14" s="86"/>
      <c r="K14" s="73" t="s">
        <v>26</v>
      </c>
    </row>
    <row r="15" spans="1:11" ht="13.5" customHeight="1">
      <c r="A15" s="79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3.5" customHeight="1">
      <c r="A16" s="74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85" t="s">
        <v>29</v>
      </c>
    </row>
    <row r="17" spans="1:11" ht="13.5" customHeight="1">
      <c r="A17" s="73" t="s">
        <v>30</v>
      </c>
      <c r="B17" s="77">
        <v>4999.3</v>
      </c>
      <c r="C17" s="77">
        <v>3472.2</v>
      </c>
      <c r="D17" s="77">
        <v>3048.5</v>
      </c>
      <c r="E17" s="77">
        <v>2993.2</v>
      </c>
      <c r="F17" s="77">
        <v>3047.1</v>
      </c>
      <c r="G17" s="77">
        <v>4793.5</v>
      </c>
      <c r="H17" s="77">
        <v>2913.9</v>
      </c>
      <c r="I17" s="77">
        <v>5298.2</v>
      </c>
      <c r="J17" s="77">
        <f>SUM(B17:I17)</f>
        <v>30565.9</v>
      </c>
      <c r="K17" s="88">
        <f>J17/J20</f>
        <v>0.5555072932606855</v>
      </c>
    </row>
    <row r="18" spans="1:11" ht="13.5" customHeight="1">
      <c r="A18" s="73" t="s">
        <v>31</v>
      </c>
      <c r="B18" s="77">
        <v>3583.7</v>
      </c>
      <c r="C18" s="77">
        <v>4168.5</v>
      </c>
      <c r="D18" s="77">
        <v>2614.2</v>
      </c>
      <c r="E18" s="77">
        <v>537.5</v>
      </c>
      <c r="F18" s="77">
        <v>3650</v>
      </c>
      <c r="G18" s="77">
        <v>4609</v>
      </c>
      <c r="H18" s="77">
        <v>1125.3</v>
      </c>
      <c r="I18" s="77">
        <v>4169.3</v>
      </c>
      <c r="J18" s="77">
        <f>SUM(B18:I18)</f>
        <v>24457.5</v>
      </c>
      <c r="K18" s="88">
        <f>J18/J20</f>
        <v>0.4444927067393145</v>
      </c>
    </row>
    <row r="19" spans="1:11" ht="13.5" customHeight="1">
      <c r="A19" s="73"/>
      <c r="B19" s="73"/>
      <c r="C19" s="73"/>
      <c r="D19" s="73"/>
      <c r="E19" s="73"/>
      <c r="F19" s="73"/>
      <c r="G19" s="73"/>
      <c r="H19" s="73"/>
      <c r="I19" s="73"/>
      <c r="J19" s="73">
        <f>SUM(B19:I19)</f>
        <v>0</v>
      </c>
      <c r="K19" s="88">
        <f>J19/J20</f>
        <v>0</v>
      </c>
    </row>
    <row r="20" spans="1:11" ht="13.5" customHeight="1">
      <c r="A20" s="75" t="s">
        <v>32</v>
      </c>
      <c r="B20" s="78">
        <f aca="true" t="shared" si="3" ref="B20:K20">SUM(B17:B19)</f>
        <v>8583</v>
      </c>
      <c r="C20" s="78">
        <f t="shared" si="3"/>
        <v>7640.7</v>
      </c>
      <c r="D20" s="78">
        <f t="shared" si="3"/>
        <v>5662.7</v>
      </c>
      <c r="E20" s="78">
        <f t="shared" si="3"/>
        <v>3530.7</v>
      </c>
      <c r="F20" s="78">
        <f t="shared" si="3"/>
        <v>6697.1</v>
      </c>
      <c r="G20" s="78">
        <f t="shared" si="3"/>
        <v>9402.5</v>
      </c>
      <c r="H20" s="78">
        <f t="shared" si="3"/>
        <v>4039.2</v>
      </c>
      <c r="I20" s="78">
        <f t="shared" si="3"/>
        <v>9467.5</v>
      </c>
      <c r="J20" s="78">
        <f t="shared" si="3"/>
        <v>55023.4</v>
      </c>
      <c r="K20" s="89">
        <f t="shared" si="3"/>
        <v>1</v>
      </c>
    </row>
    <row r="21" spans="1:11" ht="13.5" customHeight="1">
      <c r="A21" s="85" t="s">
        <v>33</v>
      </c>
      <c r="B21" s="90">
        <f>(0.6*B4+0.4*J22)/B4</f>
        <v>0.8584980799317308</v>
      </c>
      <c r="C21" s="90">
        <f>(0.6*C4+0.4*J22)/C4</f>
        <v>0.8837626854020296</v>
      </c>
      <c r="D21" s="90">
        <f>(0.6*D4+0.4*J22)/D4</f>
        <v>1.0151439013248056</v>
      </c>
      <c r="E21" s="90">
        <f>(0.6*E4+0.4*J22)/E4</f>
        <v>1.4548918156161805</v>
      </c>
      <c r="F21" s="90">
        <f>(0.6*F4+0.4*J22)/F4</f>
        <v>0.9997140972069496</v>
      </c>
      <c r="G21" s="90">
        <f>(0.6*G4+0.4*J22)/G4</f>
        <v>0.9341606913035484</v>
      </c>
      <c r="H21" s="90">
        <f>(0.6*H4+0.4*J22)/H4</f>
        <v>1.3547757475083058</v>
      </c>
      <c r="I21" s="90">
        <f>(0.6*I4+0.4*J22)/I4</f>
        <v>1.0525647410358567</v>
      </c>
      <c r="J21" s="91">
        <v>1</v>
      </c>
      <c r="K21" s="98" t="s">
        <v>34</v>
      </c>
    </row>
    <row r="22" spans="1:11" ht="13.5" customHeight="1">
      <c r="A22" s="85" t="s">
        <v>35</v>
      </c>
      <c r="B22" s="93"/>
      <c r="C22" s="93"/>
      <c r="D22" s="93"/>
      <c r="E22" s="93"/>
      <c r="F22" s="93"/>
      <c r="G22" s="93"/>
      <c r="H22" s="93"/>
      <c r="I22" s="93"/>
      <c r="J22" s="94">
        <f>J4/8</f>
        <v>4543.75</v>
      </c>
      <c r="K22" s="95"/>
    </row>
    <row r="23" spans="1:11" ht="13.5" customHeight="1">
      <c r="A23" s="85" t="s">
        <v>36</v>
      </c>
      <c r="B23" s="96">
        <f aca="true" t="shared" si="4" ref="B23:J23">1+B24/B4</f>
        <v>1.0695491395249608</v>
      </c>
      <c r="C23" s="96">
        <f t="shared" si="4"/>
        <v>1.0401249024199843</v>
      </c>
      <c r="D23" s="96">
        <f t="shared" si="4"/>
        <v>1.211968935587026</v>
      </c>
      <c r="E23" s="96">
        <f t="shared" si="4"/>
        <v>1.5888993414863593</v>
      </c>
      <c r="F23" s="96">
        <f t="shared" si="4"/>
        <v>1.2597316912249834</v>
      </c>
      <c r="G23" s="96">
        <f t="shared" si="4"/>
        <v>1.3576025004596433</v>
      </c>
      <c r="H23" s="96">
        <f t="shared" si="4"/>
        <v>1.0772425249169435</v>
      </c>
      <c r="I23" s="96">
        <f t="shared" si="4"/>
        <v>1.2089143426294822</v>
      </c>
      <c r="J23" s="96">
        <f t="shared" si="4"/>
        <v>1.1946905089408528</v>
      </c>
      <c r="K23" s="97" t="s">
        <v>37</v>
      </c>
    </row>
    <row r="24" spans="1:11" ht="13.5" customHeight="1">
      <c r="A24" s="85" t="s">
        <v>38</v>
      </c>
      <c r="B24" s="73">
        <v>489</v>
      </c>
      <c r="C24" s="73">
        <v>257</v>
      </c>
      <c r="D24" s="73">
        <v>928</v>
      </c>
      <c r="E24" s="73">
        <v>1252</v>
      </c>
      <c r="F24" s="73">
        <v>1181</v>
      </c>
      <c r="G24" s="73">
        <v>1945</v>
      </c>
      <c r="H24" s="73">
        <v>186</v>
      </c>
      <c r="I24" s="73">
        <v>839</v>
      </c>
      <c r="J24" s="73">
        <f>SUM(B24:I24)</f>
        <v>7077</v>
      </c>
      <c r="K24" s="89"/>
    </row>
    <row r="25" spans="1:11" s="122" customFormat="1" ht="13.5" customHeight="1">
      <c r="A25" s="119" t="s">
        <v>39</v>
      </c>
      <c r="B25" s="120">
        <v>1896.4</v>
      </c>
      <c r="C25" s="120">
        <v>1567.1</v>
      </c>
      <c r="D25" s="120">
        <v>1390.1</v>
      </c>
      <c r="E25" s="120">
        <v>596.4</v>
      </c>
      <c r="F25" s="120">
        <v>1092.2</v>
      </c>
      <c r="G25" s="120">
        <v>2070.4</v>
      </c>
      <c r="H25" s="120">
        <v>435.7</v>
      </c>
      <c r="I25" s="120">
        <v>1453</v>
      </c>
      <c r="J25" s="120">
        <f>B25+C25+D25+E25+F25+G25+H25+I25</f>
        <v>10501.300000000001</v>
      </c>
      <c r="K25" s="121"/>
    </row>
    <row r="26" spans="1:11" ht="13.5" customHeight="1">
      <c r="A26" s="85" t="s">
        <v>40</v>
      </c>
      <c r="B26" s="96">
        <f>(B25/B4)/(J25/J4)</f>
        <v>0.9336287103168834</v>
      </c>
      <c r="C26" s="96">
        <f>(C25/C4)/(J25/J4)</f>
        <v>0.8469132474903499</v>
      </c>
      <c r="D26" s="96">
        <f>(D25/D4)/(J25/J4)</f>
        <v>1.099085898377558</v>
      </c>
      <c r="E26" s="96">
        <f>(E25/E4)/(J25/J4)</f>
        <v>0.9710368789263996</v>
      </c>
      <c r="F26" s="96">
        <f>(F25/F4)/(J25/J4)</f>
        <v>0.8314546522229254</v>
      </c>
      <c r="G26" s="96">
        <f>(G25/G4)/(J25/J4)</f>
        <v>1.3176393308921117</v>
      </c>
      <c r="H26" s="96">
        <f>(H25/H4)/(J25/J4)</f>
        <v>0.6263144433343847</v>
      </c>
      <c r="I26" s="96">
        <f>(I25/I4)/(J25/J4)</f>
        <v>1.2523717420226057</v>
      </c>
      <c r="J26" s="96">
        <v>1</v>
      </c>
      <c r="K26" s="98" t="s">
        <v>41</v>
      </c>
    </row>
    <row r="27" spans="1:11" ht="13.5" customHeight="1">
      <c r="A27" s="99" t="s">
        <v>42</v>
      </c>
      <c r="B27" s="123">
        <f>B28*K17+B29*K18+B30*K19</f>
        <v>0.9808975493090732</v>
      </c>
      <c r="C27" s="123">
        <f>C28*K17+K18*C29+C30*K19</f>
        <v>0.9377944345305433</v>
      </c>
      <c r="D27" s="123">
        <f>D28*K17+K18*D29+K19*D30</f>
        <v>1.3121164068107987</v>
      </c>
      <c r="E27" s="123">
        <f>E28*K17+K18*E29+K19*E30</f>
        <v>1.7442585155939083</v>
      </c>
      <c r="F27" s="123">
        <f>F28*K17+K18*F29+K19*F30</f>
        <v>1.225489527702925</v>
      </c>
      <c r="G27" s="123">
        <f>G28*K17+K18*G29+K19*G30</f>
        <v>1.5072117511145315</v>
      </c>
      <c r="H27" s="123">
        <f>H28*K17+K18*H29+K19*H30</f>
        <v>1.2195829409457755</v>
      </c>
      <c r="I27" s="123">
        <f>I28*K17+I29*K18+I30*K19</f>
        <v>1.4077780565893212</v>
      </c>
      <c r="J27" s="73"/>
      <c r="K27" s="85" t="s">
        <v>43</v>
      </c>
    </row>
    <row r="28" spans="1:11" ht="13.5" customHeight="1">
      <c r="A28" s="73" t="s">
        <v>30</v>
      </c>
      <c r="B28" s="101">
        <f>B21*B23/J21*J23</f>
        <v>1.0969718532852581</v>
      </c>
      <c r="C28" s="101">
        <f>C21*C23/J21*J23</f>
        <v>1.0981876829364574</v>
      </c>
      <c r="D28" s="101">
        <f>D21*D23/J21*J23</f>
        <v>1.4698550599705313</v>
      </c>
      <c r="E28" s="101">
        <f>E21*D23/J21*J23</f>
        <v>2.1065782832388096</v>
      </c>
      <c r="F28" s="101">
        <f>F21*F23/J21*J23</f>
        <v>1.5045592146182736</v>
      </c>
      <c r="G28" s="101">
        <f>G21*G23/J21*J23</f>
        <v>1.51512907155444</v>
      </c>
      <c r="H28" s="101">
        <f>H21*H23/J21*J23</f>
        <v>1.743557668020743</v>
      </c>
      <c r="I28" s="101">
        <f>I21*I23/J21*J23</f>
        <v>1.5201966161387528</v>
      </c>
      <c r="J28" s="101"/>
      <c r="K28" s="72" t="s">
        <v>44</v>
      </c>
    </row>
    <row r="29" spans="1:11" ht="13.5" customHeight="1">
      <c r="A29" s="73" t="s">
        <v>31</v>
      </c>
      <c r="B29" s="101">
        <f>B23*B26/J23*J26</f>
        <v>0.8358330264467336</v>
      </c>
      <c r="C29" s="101">
        <f>C23*C26/J23*J26</f>
        <v>0.7373420583085121</v>
      </c>
      <c r="D29" s="101">
        <f>D23*D26/J23*J26</f>
        <v>1.1149816261253207</v>
      </c>
      <c r="E29" s="101">
        <f>E23*E26/J23*J26</f>
        <v>1.291447321242184</v>
      </c>
      <c r="F29" s="101">
        <f>F23*F26/J23*J26</f>
        <v>0.8767205961569431</v>
      </c>
      <c r="G29" s="101">
        <f>G23*G26/J23*J26</f>
        <v>1.4973170347766311</v>
      </c>
      <c r="H29" s="101">
        <f>H23*H26/J23*J26</f>
        <v>0.5647425398295228</v>
      </c>
      <c r="I29" s="101">
        <f>I23*I26/J23*J26</f>
        <v>1.2672823211571642</v>
      </c>
      <c r="J29" s="101"/>
      <c r="K29" s="72" t="s">
        <v>45</v>
      </c>
    </row>
    <row r="30" spans="1:11" ht="13.5" customHeight="1">
      <c r="A30" s="73"/>
      <c r="B30" s="101"/>
      <c r="C30" s="101"/>
      <c r="D30" s="101"/>
      <c r="E30" s="101"/>
      <c r="F30" s="101"/>
      <c r="G30" s="101"/>
      <c r="H30" s="101"/>
      <c r="I30" s="101"/>
      <c r="J30" s="101"/>
      <c r="K30" s="72"/>
    </row>
    <row r="31" spans="1:11" ht="13.5" customHeight="1">
      <c r="A31" s="102" t="s">
        <v>46</v>
      </c>
      <c r="B31" s="101">
        <f aca="true" t="shared" si="5" ref="B31:I31">B14/B27</f>
        <v>1.2881551420361506</v>
      </c>
      <c r="C31" s="101">
        <f t="shared" si="5"/>
        <v>0.835762257551945</v>
      </c>
      <c r="D31" s="101">
        <f t="shared" si="5"/>
        <v>0.5329301301142535</v>
      </c>
      <c r="E31" s="101">
        <f t="shared" si="5"/>
        <v>0.6212690002576688</v>
      </c>
      <c r="F31" s="101">
        <f t="shared" si="5"/>
        <v>0.6374975100562632</v>
      </c>
      <c r="G31" s="101">
        <f t="shared" si="5"/>
        <v>0.7602806339854121</v>
      </c>
      <c r="H31" s="101">
        <f t="shared" si="5"/>
        <v>0.5034290526222573</v>
      </c>
      <c r="I31" s="101">
        <f t="shared" si="5"/>
        <v>1.0289557025811544</v>
      </c>
      <c r="J31" s="103">
        <v>0.8</v>
      </c>
      <c r="K31" s="72" t="s">
        <v>47</v>
      </c>
    </row>
    <row r="32" spans="1:12" ht="13.5" customHeight="1">
      <c r="A32" s="105" t="s">
        <v>48</v>
      </c>
      <c r="B32" s="106">
        <f aca="true" t="shared" si="6" ref="B32:J32">B36*7200/7172.94</f>
        <v>0</v>
      </c>
      <c r="C32" s="106">
        <f t="shared" si="6"/>
        <v>0</v>
      </c>
      <c r="D32" s="106">
        <f t="shared" si="6"/>
        <v>2569.416610576207</v>
      </c>
      <c r="E32" s="106">
        <f t="shared" si="6"/>
        <v>1110.0320185594605</v>
      </c>
      <c r="F32" s="106">
        <f t="shared" si="6"/>
        <v>1516.5477455456842</v>
      </c>
      <c r="G32" s="106">
        <f t="shared" si="6"/>
        <v>545.3271841434811</v>
      </c>
      <c r="H32" s="106">
        <f t="shared" si="6"/>
        <v>1458.6729771052255</v>
      </c>
      <c r="I32" s="106">
        <f t="shared" si="6"/>
        <v>0</v>
      </c>
      <c r="J32" s="106">
        <f t="shared" si="6"/>
        <v>7199.996535930057</v>
      </c>
      <c r="K32" s="107" t="s">
        <v>49</v>
      </c>
      <c r="L32" s="104"/>
    </row>
    <row r="33" spans="1:11" s="122" customFormat="1" ht="13.5" customHeight="1">
      <c r="A33" s="131" t="s">
        <v>50</v>
      </c>
      <c r="B33" s="132">
        <v>0</v>
      </c>
      <c r="C33" s="132">
        <v>0</v>
      </c>
      <c r="D33" s="133">
        <f>J32*D36/J36</f>
        <v>2569.4166105762065</v>
      </c>
      <c r="E33" s="133">
        <f>J32*E36/J36</f>
        <v>1110.0320185594603</v>
      </c>
      <c r="F33" s="133">
        <f>J32*F36/J36</f>
        <v>1516.547745545684</v>
      </c>
      <c r="G33" s="133">
        <f>J32*G36/J36</f>
        <v>545.3271841434811</v>
      </c>
      <c r="H33" s="133">
        <f>J32*H36/J36</f>
        <v>1458.6729771052255</v>
      </c>
      <c r="I33" s="133">
        <v>0</v>
      </c>
      <c r="J33" s="133">
        <v>1200</v>
      </c>
      <c r="K33" s="134" t="s">
        <v>49</v>
      </c>
    </row>
    <row r="34" spans="1:11" ht="13.5" customHeight="1">
      <c r="A34" s="72"/>
      <c r="B34" s="109"/>
      <c r="C34" s="109"/>
      <c r="D34" s="109"/>
      <c r="E34" s="109"/>
      <c r="F34" s="109"/>
      <c r="G34" s="109"/>
      <c r="H34" s="109"/>
      <c r="I34" s="109"/>
      <c r="J34" s="109"/>
      <c r="K34" s="107"/>
    </row>
    <row r="35" spans="1:11" ht="13.5" customHeight="1">
      <c r="A35" s="85" t="s">
        <v>51</v>
      </c>
      <c r="B35" s="101">
        <f>J31-B31</f>
        <v>-0.4881551420361505</v>
      </c>
      <c r="C35" s="101">
        <f>J31-C31</f>
        <v>-0.035762257551944954</v>
      </c>
      <c r="D35" s="101">
        <f>J31-D31</f>
        <v>0.26706986988574655</v>
      </c>
      <c r="E35" s="101">
        <f>J31-E31</f>
        <v>0.1787309997423312</v>
      </c>
      <c r="F35" s="101">
        <f>J31-F31</f>
        <v>0.16250248994373684</v>
      </c>
      <c r="G35" s="101">
        <f>J31-G31</f>
        <v>0.03971936601458792</v>
      </c>
      <c r="H35" s="101">
        <f>J31-H31</f>
        <v>0.2965709473777427</v>
      </c>
      <c r="I35" s="101">
        <f>J31-I31</f>
        <v>-0.22895570258115439</v>
      </c>
      <c r="J35" s="101">
        <f>SUM(B35:I35)</f>
        <v>0.19172057079489535</v>
      </c>
      <c r="K35" s="72"/>
    </row>
    <row r="36" spans="1:11" ht="13.5" customHeight="1">
      <c r="A36" s="85" t="s">
        <v>52</v>
      </c>
      <c r="B36" s="124"/>
      <c r="C36" s="124"/>
      <c r="D36" s="125">
        <f>1668.5*D35*D27*D4/1000</f>
        <v>2559.7598864814577</v>
      </c>
      <c r="E36" s="125">
        <f>1668.5*E35*E27*E4/1000</f>
        <v>1105.860148223041</v>
      </c>
      <c r="F36" s="125">
        <f>1668.5*F35*F27*F4/1000</f>
        <v>1510.8480536020081</v>
      </c>
      <c r="G36" s="125">
        <f>1668.5*G35*G27*G4/1000</f>
        <v>543.2776628097419</v>
      </c>
      <c r="H36" s="125">
        <f>1668.5*H35*H27*H4/1000</f>
        <v>1453.1907978329384</v>
      </c>
      <c r="I36" s="124"/>
      <c r="J36" s="125">
        <f>SUM(B36:I36)</f>
        <v>7172.9365489491865</v>
      </c>
      <c r="K36" s="72"/>
    </row>
    <row r="37" spans="1:11" ht="13.5" customHeight="1">
      <c r="A37" s="72" t="s">
        <v>53</v>
      </c>
      <c r="B37" s="113">
        <v>14090</v>
      </c>
      <c r="C37" s="113">
        <v>7760</v>
      </c>
      <c r="D37" s="113">
        <v>5465</v>
      </c>
      <c r="E37" s="113">
        <v>3630</v>
      </c>
      <c r="F37" s="113">
        <v>6020</v>
      </c>
      <c r="G37" s="113">
        <v>10970</v>
      </c>
      <c r="H37" s="113">
        <v>2326.3</v>
      </c>
      <c r="I37" s="113">
        <v>10386.9</v>
      </c>
      <c r="J37" s="113">
        <f>SUM(B37:I37)</f>
        <v>60648.200000000004</v>
      </c>
      <c r="K37" s="72"/>
    </row>
    <row r="38" spans="1:11" ht="13.5" customHeight="1">
      <c r="A38" s="72" t="s">
        <v>54</v>
      </c>
      <c r="B38" s="109">
        <f aca="true" t="shared" si="7" ref="B38:J38">B37/B4*1000</f>
        <v>2003.9823638173805</v>
      </c>
      <c r="C38" s="109">
        <f t="shared" si="7"/>
        <v>1211.5534738485558</v>
      </c>
      <c r="D38" s="109">
        <f t="shared" si="7"/>
        <v>1248.2868889904066</v>
      </c>
      <c r="E38" s="109">
        <f t="shared" si="7"/>
        <v>1707.4317968015052</v>
      </c>
      <c r="F38" s="109">
        <f t="shared" si="7"/>
        <v>1323.9498570486035</v>
      </c>
      <c r="G38" s="109">
        <f t="shared" si="7"/>
        <v>2016.9148740577314</v>
      </c>
      <c r="H38" s="109">
        <f t="shared" si="7"/>
        <v>966.0714285714287</v>
      </c>
      <c r="I38" s="109">
        <f t="shared" si="7"/>
        <v>2586.379482071713</v>
      </c>
      <c r="J38" s="109">
        <f t="shared" si="7"/>
        <v>1668.4511691884459</v>
      </c>
      <c r="K38" s="114" t="s">
        <v>55</v>
      </c>
    </row>
    <row r="39" spans="1:11" s="122" customFormat="1" ht="13.5" customHeight="1">
      <c r="A39" s="135" t="s">
        <v>56</v>
      </c>
      <c r="B39" s="136">
        <f aca="true" t="shared" si="8" ref="B39:J39">B11+B33</f>
        <v>1620.7335083906464</v>
      </c>
      <c r="C39" s="136">
        <f t="shared" si="8"/>
        <v>1476.4326726272352</v>
      </c>
      <c r="D39" s="136">
        <f t="shared" si="8"/>
        <v>3578.60041085131</v>
      </c>
      <c r="E39" s="136">
        <f t="shared" si="8"/>
        <v>1600.1016301137931</v>
      </c>
      <c r="F39" s="136">
        <f t="shared" si="8"/>
        <v>2564.6881612265643</v>
      </c>
      <c r="G39" s="136">
        <f t="shared" si="8"/>
        <v>1799.0847651613626</v>
      </c>
      <c r="H39" s="136">
        <f t="shared" si="8"/>
        <v>2013.7471185082518</v>
      </c>
      <c r="I39" s="136">
        <f t="shared" si="8"/>
        <v>925.738269050894</v>
      </c>
      <c r="J39" s="136">
        <f t="shared" si="8"/>
        <v>9579.13</v>
      </c>
      <c r="K39" s="137"/>
    </row>
    <row r="40" spans="1:11" ht="13.5" customHeight="1">
      <c r="A40" s="222" t="s">
        <v>57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</row>
    <row r="41" spans="1:11" ht="13.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</row>
    <row r="42" spans="1:11" ht="13.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</row>
    <row r="43" spans="1:2" ht="13.5" customHeight="1">
      <c r="A43" s="66" t="s">
        <v>58</v>
      </c>
      <c r="B43" s="104"/>
    </row>
    <row r="44" spans="1:2" ht="13.5" customHeight="1">
      <c r="A44" s="118" t="s">
        <v>59</v>
      </c>
      <c r="B44" s="104"/>
    </row>
    <row r="45" ht="13.5" customHeight="1">
      <c r="D45" s="66">
        <f>(B31+C31+D31+E31+F31+G31+H31+I31)/8</f>
        <v>0.7760349286506381</v>
      </c>
    </row>
  </sheetData>
  <sheetProtection/>
  <mergeCells count="3">
    <mergeCell ref="A1:K1"/>
    <mergeCell ref="A2:K2"/>
    <mergeCell ref="A40:K42"/>
  </mergeCell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zoomScalePageLayoutView="0" workbookViewId="0" topLeftCell="A13">
      <selection activeCell="D38" sqref="D38"/>
    </sheetView>
  </sheetViews>
  <sheetFormatPr defaultColWidth="9.28125" defaultRowHeight="10.5" customHeight="1"/>
  <cols>
    <col min="1" max="1" width="48.28125" style="66" customWidth="1"/>
    <col min="2" max="2" width="12.7109375" style="66" customWidth="1"/>
    <col min="3" max="3" width="11.140625" style="66" customWidth="1"/>
    <col min="4" max="4" width="11.28125" style="66" customWidth="1"/>
    <col min="5" max="5" width="11.00390625" style="66" customWidth="1"/>
    <col min="6" max="6" width="11.28125" style="66" customWidth="1"/>
    <col min="7" max="7" width="11.8515625" style="66" customWidth="1"/>
    <col min="8" max="8" width="12.140625" style="66" customWidth="1"/>
    <col min="9" max="9" width="11.28125" style="66" customWidth="1"/>
    <col min="10" max="10" width="12.8515625" style="66" customWidth="1"/>
    <col min="11" max="11" width="39.140625" style="66" customWidth="1"/>
    <col min="12" max="16384" width="9.28125" style="66" customWidth="1"/>
  </cols>
  <sheetData>
    <row r="1" spans="1:11" ht="10.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0.5" customHeight="1">
      <c r="A2" s="221" t="s">
        <v>60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0.5" customHeight="1">
      <c r="A3" s="67"/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9" t="s">
        <v>10</v>
      </c>
      <c r="K3" s="68" t="s">
        <v>11</v>
      </c>
    </row>
    <row r="4" spans="1:11" ht="10.5" customHeight="1">
      <c r="A4" s="67" t="s">
        <v>61</v>
      </c>
      <c r="B4" s="70">
        <v>7001</v>
      </c>
      <c r="C4" s="70">
        <v>6352</v>
      </c>
      <c r="D4" s="70">
        <v>4417</v>
      </c>
      <c r="E4" s="70">
        <v>2038</v>
      </c>
      <c r="F4" s="70">
        <v>4537</v>
      </c>
      <c r="G4" s="70">
        <v>5308</v>
      </c>
      <c r="H4" s="70">
        <v>2464</v>
      </c>
      <c r="I4" s="70">
        <v>3879</v>
      </c>
      <c r="J4" s="71">
        <f>B4+C4+D4+E4+F4+G4+H4+I4</f>
        <v>35996</v>
      </c>
      <c r="K4" s="72"/>
    </row>
    <row r="5" spans="1:11" ht="10.5" customHeight="1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9"/>
      <c r="K5" s="73"/>
    </row>
    <row r="6" spans="1:11" ht="10.5" customHeight="1">
      <c r="A6" s="74" t="s">
        <v>14</v>
      </c>
      <c r="B6" s="73"/>
      <c r="C6" s="73"/>
      <c r="D6" s="73"/>
      <c r="E6" s="73"/>
      <c r="F6" s="73"/>
      <c r="G6" s="73"/>
      <c r="H6" s="73"/>
      <c r="I6" s="73"/>
      <c r="J6" s="75"/>
      <c r="K6" s="73" t="s">
        <v>15</v>
      </c>
    </row>
    <row r="7" spans="1:11" ht="10.5" customHeight="1">
      <c r="A7" s="76" t="s">
        <v>16</v>
      </c>
      <c r="B7" s="77">
        <v>4921.9</v>
      </c>
      <c r="C7" s="77">
        <v>3850</v>
      </c>
      <c r="D7" s="77">
        <v>535</v>
      </c>
      <c r="E7" s="77">
        <v>630</v>
      </c>
      <c r="F7" s="77">
        <v>860</v>
      </c>
      <c r="G7" s="77">
        <v>2520</v>
      </c>
      <c r="H7" s="77">
        <v>420</v>
      </c>
      <c r="I7" s="77">
        <v>2400</v>
      </c>
      <c r="J7" s="78">
        <f>SUM(B7:I7)</f>
        <v>16136.9</v>
      </c>
      <c r="K7" s="73"/>
    </row>
    <row r="8" spans="1:11" ht="10.5" customHeight="1">
      <c r="A8" s="76" t="s">
        <v>17</v>
      </c>
      <c r="B8" s="77">
        <v>700</v>
      </c>
      <c r="C8" s="77">
        <v>600</v>
      </c>
      <c r="D8" s="77">
        <v>250</v>
      </c>
      <c r="E8" s="77">
        <v>150</v>
      </c>
      <c r="F8" s="77">
        <v>300</v>
      </c>
      <c r="G8" s="77">
        <v>170</v>
      </c>
      <c r="H8" s="77">
        <v>130</v>
      </c>
      <c r="I8" s="77">
        <v>200</v>
      </c>
      <c r="J8" s="78">
        <f>SUM(B8:I8)</f>
        <v>2500</v>
      </c>
      <c r="K8" s="73"/>
    </row>
    <row r="9" spans="1:11" ht="10.5" customHeight="1">
      <c r="A9" s="76" t="s">
        <v>18</v>
      </c>
      <c r="B9" s="77">
        <v>3100</v>
      </c>
      <c r="C9" s="77">
        <v>2100</v>
      </c>
      <c r="D9" s="77">
        <v>2600</v>
      </c>
      <c r="E9" s="77">
        <v>1300</v>
      </c>
      <c r="F9" s="77">
        <v>2600</v>
      </c>
      <c r="G9" s="77">
        <v>4700</v>
      </c>
      <c r="H9" s="77">
        <v>1300</v>
      </c>
      <c r="I9" s="77">
        <v>3800</v>
      </c>
      <c r="J9" s="78">
        <f>SUM(B9:I9)</f>
        <v>21500</v>
      </c>
      <c r="K9" s="73"/>
    </row>
    <row r="10" spans="1:11" ht="10.5" customHeight="1">
      <c r="A10" s="79" t="s">
        <v>19</v>
      </c>
      <c r="B10" s="78">
        <f aca="true" t="shared" si="0" ref="B10:I10">SUM(B7:B9)</f>
        <v>8721.9</v>
      </c>
      <c r="C10" s="78">
        <f t="shared" si="0"/>
        <v>6550</v>
      </c>
      <c r="D10" s="78">
        <f t="shared" si="0"/>
        <v>3385</v>
      </c>
      <c r="E10" s="78">
        <f t="shared" si="0"/>
        <v>2080</v>
      </c>
      <c r="F10" s="78">
        <f t="shared" si="0"/>
        <v>3760</v>
      </c>
      <c r="G10" s="78">
        <f t="shared" si="0"/>
        <v>7390</v>
      </c>
      <c r="H10" s="78">
        <f t="shared" si="0"/>
        <v>1850</v>
      </c>
      <c r="I10" s="78">
        <f t="shared" si="0"/>
        <v>6400</v>
      </c>
      <c r="J10" s="78">
        <f>SUM(B10:I10)</f>
        <v>40136.9</v>
      </c>
      <c r="K10" s="73"/>
    </row>
    <row r="11" spans="1:12" s="122" customFormat="1" ht="10.5" customHeight="1">
      <c r="A11" s="126" t="s">
        <v>20</v>
      </c>
      <c r="B11" s="138">
        <f aca="true" t="shared" si="1" ref="B11:I11">($J$11/$J$4)*B4</f>
        <v>1849.0353625402822</v>
      </c>
      <c r="C11" s="138">
        <f t="shared" si="1"/>
        <v>1677.6278564284921</v>
      </c>
      <c r="D11" s="138">
        <f t="shared" si="1"/>
        <v>1166.5746602400268</v>
      </c>
      <c r="E11" s="138">
        <f t="shared" si="1"/>
        <v>538.2565446160685</v>
      </c>
      <c r="F11" s="138">
        <f t="shared" si="1"/>
        <v>1198.267881709079</v>
      </c>
      <c r="G11" s="138">
        <f t="shared" si="1"/>
        <v>1401.8968296477387</v>
      </c>
      <c r="H11" s="138">
        <f t="shared" si="1"/>
        <v>650.7674808312034</v>
      </c>
      <c r="I11" s="138">
        <f t="shared" si="1"/>
        <v>1024.4833839871096</v>
      </c>
      <c r="J11" s="128">
        <v>9506.91</v>
      </c>
      <c r="K11" s="129" t="s">
        <v>21</v>
      </c>
      <c r="L11" s="130"/>
    </row>
    <row r="12" spans="1:11" ht="10.5" customHeight="1">
      <c r="A12" s="84" t="s">
        <v>22</v>
      </c>
      <c r="B12" s="78">
        <f aca="true" t="shared" si="2" ref="B12:J12">B10+B11</f>
        <v>10570.935362540282</v>
      </c>
      <c r="C12" s="78">
        <f t="shared" si="2"/>
        <v>8227.627856428491</v>
      </c>
      <c r="D12" s="78">
        <f t="shared" si="2"/>
        <v>4551.574660240027</v>
      </c>
      <c r="E12" s="78">
        <f t="shared" si="2"/>
        <v>2618.2565446160684</v>
      </c>
      <c r="F12" s="78">
        <f t="shared" si="2"/>
        <v>4958.267881709079</v>
      </c>
      <c r="G12" s="78">
        <f t="shared" si="2"/>
        <v>8791.89682964774</v>
      </c>
      <c r="H12" s="78">
        <f t="shared" si="2"/>
        <v>2500.7674808312036</v>
      </c>
      <c r="I12" s="78">
        <f t="shared" si="2"/>
        <v>7424.48338398711</v>
      </c>
      <c r="J12" s="78">
        <f t="shared" si="2"/>
        <v>49643.81</v>
      </c>
      <c r="K12" s="85" t="s">
        <v>23</v>
      </c>
    </row>
    <row r="13" spans="1:11" ht="10.5" customHeight="1">
      <c r="A13" s="73" t="s">
        <v>24</v>
      </c>
      <c r="B13" s="86">
        <f aca="true" t="shared" si="3" ref="B13:J13">B12/B4</f>
        <v>1.509917920659946</v>
      </c>
      <c r="C13" s="86">
        <f t="shared" si="3"/>
        <v>1.2952814635435281</v>
      </c>
      <c r="D13" s="86">
        <f t="shared" si="3"/>
        <v>1.0304674349649143</v>
      </c>
      <c r="E13" s="86">
        <f t="shared" si="3"/>
        <v>1.28471861855548</v>
      </c>
      <c r="F13" s="86">
        <f t="shared" si="3"/>
        <v>1.0928516380227196</v>
      </c>
      <c r="G13" s="86">
        <f t="shared" si="3"/>
        <v>1.6563483100316012</v>
      </c>
      <c r="H13" s="86">
        <f t="shared" si="3"/>
        <v>1.014921867220456</v>
      </c>
      <c r="I13" s="86">
        <f t="shared" si="3"/>
        <v>1.9140199494681902</v>
      </c>
      <c r="J13" s="86">
        <f t="shared" si="3"/>
        <v>1.3791479608845427</v>
      </c>
      <c r="K13" s="85"/>
    </row>
    <row r="14" spans="1:11" ht="10.5" customHeight="1">
      <c r="A14" s="87" t="s">
        <v>25</v>
      </c>
      <c r="B14" s="86">
        <f aca="true" t="shared" si="4" ref="B14:J14">(B12/B4)/($J$12/$J$4)</f>
        <v>1.094819383767592</v>
      </c>
      <c r="C14" s="86">
        <f t="shared" si="4"/>
        <v>0.9391896303227499</v>
      </c>
      <c r="D14" s="86">
        <f t="shared" si="4"/>
        <v>0.7471768542542777</v>
      </c>
      <c r="E14" s="86">
        <f t="shared" si="4"/>
        <v>0.9315306660291194</v>
      </c>
      <c r="F14" s="86">
        <f t="shared" si="4"/>
        <v>0.7924107267807571</v>
      </c>
      <c r="G14" s="86">
        <f t="shared" si="4"/>
        <v>1.2009939158154364</v>
      </c>
      <c r="H14" s="86">
        <f t="shared" si="4"/>
        <v>0.7359049906215405</v>
      </c>
      <c r="I14" s="86">
        <f t="shared" si="4"/>
        <v>1.3878278500593926</v>
      </c>
      <c r="J14" s="86">
        <f t="shared" si="4"/>
        <v>1</v>
      </c>
      <c r="K14" s="73" t="s">
        <v>26</v>
      </c>
    </row>
    <row r="15" spans="1:11" ht="10.5" customHeight="1">
      <c r="A15" s="69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0.5" customHeight="1">
      <c r="A16" s="74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85" t="s">
        <v>29</v>
      </c>
    </row>
    <row r="17" spans="1:11" ht="10.5" customHeight="1">
      <c r="A17" s="73" t="s">
        <v>30</v>
      </c>
      <c r="B17" s="77">
        <v>4832.3</v>
      </c>
      <c r="C17" s="77">
        <v>6287</v>
      </c>
      <c r="D17" s="77">
        <v>1823.8</v>
      </c>
      <c r="E17" s="77">
        <v>2068.8</v>
      </c>
      <c r="F17" s="77">
        <v>4292.6</v>
      </c>
      <c r="G17" s="77">
        <v>5010.6</v>
      </c>
      <c r="H17" s="77">
        <v>1851.1</v>
      </c>
      <c r="I17" s="77">
        <v>5156.7</v>
      </c>
      <c r="J17" s="77">
        <f>SUM(B17:I17)</f>
        <v>31322.899999999998</v>
      </c>
      <c r="K17" s="88">
        <f>J17/J21</f>
        <v>0.6013169387892225</v>
      </c>
    </row>
    <row r="18" spans="1:11" ht="10.5" customHeight="1">
      <c r="A18" s="73" t="s">
        <v>31</v>
      </c>
      <c r="B18" s="77">
        <v>2995.3</v>
      </c>
      <c r="C18" s="77">
        <v>2746</v>
      </c>
      <c r="D18" s="77">
        <v>1909.7</v>
      </c>
      <c r="E18" s="77">
        <v>408</v>
      </c>
      <c r="F18" s="77">
        <v>1313.8</v>
      </c>
      <c r="G18" s="77">
        <v>4170.1</v>
      </c>
      <c r="H18" s="77">
        <v>416.9</v>
      </c>
      <c r="I18" s="77">
        <v>2947</v>
      </c>
      <c r="J18" s="77">
        <f>SUM(B18:I18)</f>
        <v>16906.8</v>
      </c>
      <c r="K18" s="88">
        <f>J18/J21</f>
        <v>0.32456589973219685</v>
      </c>
    </row>
    <row r="19" spans="1:11" ht="10.5" customHeight="1">
      <c r="A19" s="73" t="s">
        <v>62</v>
      </c>
      <c r="B19" s="77">
        <v>1738.2</v>
      </c>
      <c r="C19" s="77">
        <v>40</v>
      </c>
      <c r="D19" s="77">
        <v>807.7</v>
      </c>
      <c r="E19" s="77">
        <v>295.8</v>
      </c>
      <c r="F19" s="77">
        <v>500</v>
      </c>
      <c r="G19" s="77"/>
      <c r="H19" s="77">
        <v>479.1</v>
      </c>
      <c r="I19" s="77"/>
      <c r="J19" s="77">
        <f>SUM(B19:I19)</f>
        <v>3860.8</v>
      </c>
      <c r="K19" s="88">
        <f>J19/J21</f>
        <v>0.07411716147858055</v>
      </c>
    </row>
    <row r="20" spans="1:11" ht="10.5" customHeight="1">
      <c r="A20" s="73" t="s">
        <v>63</v>
      </c>
      <c r="B20" s="73"/>
      <c r="C20" s="73"/>
      <c r="D20" s="73"/>
      <c r="E20" s="73"/>
      <c r="F20" s="73"/>
      <c r="G20" s="73"/>
      <c r="H20" s="73"/>
      <c r="I20" s="73"/>
      <c r="J20" s="77">
        <f>SUM(B20:I20)</f>
        <v>0</v>
      </c>
      <c r="K20" s="88">
        <f>J20/J21</f>
        <v>0</v>
      </c>
    </row>
    <row r="21" spans="1:11" ht="10.5" customHeight="1">
      <c r="A21" s="75" t="s">
        <v>32</v>
      </c>
      <c r="B21" s="78">
        <f aca="true" t="shared" si="5" ref="B21:K21">SUM(B17:B20)</f>
        <v>9565.800000000001</v>
      </c>
      <c r="C21" s="78">
        <f t="shared" si="5"/>
        <v>9073</v>
      </c>
      <c r="D21" s="78">
        <f t="shared" si="5"/>
        <v>4541.2</v>
      </c>
      <c r="E21" s="78">
        <f t="shared" si="5"/>
        <v>2772.6000000000004</v>
      </c>
      <c r="F21" s="78">
        <f t="shared" si="5"/>
        <v>6106.400000000001</v>
      </c>
      <c r="G21" s="78">
        <f t="shared" si="5"/>
        <v>9180.7</v>
      </c>
      <c r="H21" s="78">
        <f t="shared" si="5"/>
        <v>2747.1</v>
      </c>
      <c r="I21" s="78">
        <f t="shared" si="5"/>
        <v>8103.7</v>
      </c>
      <c r="J21" s="78">
        <f t="shared" si="5"/>
        <v>52090.5</v>
      </c>
      <c r="K21" s="89">
        <f t="shared" si="5"/>
        <v>1</v>
      </c>
    </row>
    <row r="22" spans="1:11" ht="10.5" customHeight="1">
      <c r="A22" s="85" t="s">
        <v>33</v>
      </c>
      <c r="B22" s="90">
        <f aca="true" t="shared" si="6" ref="B22:I22">(0.6*B4+0.4*$J$23)/B4</f>
        <v>0.8570775603485216</v>
      </c>
      <c r="C22" s="90">
        <f t="shared" si="6"/>
        <v>0.8833438287153652</v>
      </c>
      <c r="D22" s="90">
        <f t="shared" si="6"/>
        <v>1.0074711342540186</v>
      </c>
      <c r="E22" s="90">
        <f t="shared" si="6"/>
        <v>1.4831207065750738</v>
      </c>
      <c r="F22" s="90">
        <f t="shared" si="6"/>
        <v>0.9966938505620454</v>
      </c>
      <c r="G22" s="90">
        <f t="shared" si="6"/>
        <v>0.9390730972117559</v>
      </c>
      <c r="H22" s="90">
        <f t="shared" si="6"/>
        <v>1.3304383116883116</v>
      </c>
      <c r="I22" s="90">
        <f t="shared" si="6"/>
        <v>1.0639855632895079</v>
      </c>
      <c r="J22" s="91">
        <v>1</v>
      </c>
      <c r="K22" s="92" t="s">
        <v>64</v>
      </c>
    </row>
    <row r="23" spans="1:11" ht="10.5" customHeight="1">
      <c r="A23" s="85" t="s">
        <v>35</v>
      </c>
      <c r="B23" s="93"/>
      <c r="C23" s="93"/>
      <c r="D23" s="93"/>
      <c r="E23" s="93"/>
      <c r="F23" s="93"/>
      <c r="G23" s="93"/>
      <c r="H23" s="93"/>
      <c r="I23" s="93"/>
      <c r="J23" s="94">
        <f>J4/8</f>
        <v>4499.5</v>
      </c>
      <c r="K23" s="95" t="s">
        <v>65</v>
      </c>
    </row>
    <row r="24" spans="1:11" ht="10.5" customHeight="1">
      <c r="A24" s="85" t="s">
        <v>36</v>
      </c>
      <c r="B24" s="96">
        <f aca="true" t="shared" si="7" ref="B24:J24">1+B25/B4</f>
        <v>1.0745607770318526</v>
      </c>
      <c r="C24" s="96">
        <f t="shared" si="7"/>
        <v>1.0393576826196473</v>
      </c>
      <c r="D24" s="96">
        <f t="shared" si="7"/>
        <v>1.3878197871858728</v>
      </c>
      <c r="E24" s="96">
        <f t="shared" si="7"/>
        <v>1.5569185475956822</v>
      </c>
      <c r="F24" s="96">
        <f t="shared" si="7"/>
        <v>1.1386378664315626</v>
      </c>
      <c r="G24" s="96">
        <f t="shared" si="7"/>
        <v>1.353051996985682</v>
      </c>
      <c r="H24" s="96">
        <f t="shared" si="7"/>
        <v>1.077922077922078</v>
      </c>
      <c r="I24" s="96">
        <f t="shared" si="7"/>
        <v>1.1876772364011343</v>
      </c>
      <c r="J24" s="96">
        <f t="shared" si="7"/>
        <v>1.1956606289587732</v>
      </c>
      <c r="K24" s="97" t="s">
        <v>37</v>
      </c>
    </row>
    <row r="25" spans="1:11" ht="10.5" customHeight="1">
      <c r="A25" s="85" t="s">
        <v>38</v>
      </c>
      <c r="B25" s="73">
        <v>522</v>
      </c>
      <c r="C25" s="73">
        <v>250</v>
      </c>
      <c r="D25" s="73">
        <v>1713</v>
      </c>
      <c r="E25" s="73">
        <v>1135</v>
      </c>
      <c r="F25" s="73">
        <v>629</v>
      </c>
      <c r="G25" s="73">
        <v>1874</v>
      </c>
      <c r="H25" s="73">
        <v>192</v>
      </c>
      <c r="I25" s="73">
        <v>728</v>
      </c>
      <c r="J25" s="73">
        <f>SUM(B25:I25)</f>
        <v>7043</v>
      </c>
      <c r="K25" s="89"/>
    </row>
    <row r="26" spans="1:11" s="122" customFormat="1" ht="10.5" customHeight="1">
      <c r="A26" s="119" t="s">
        <v>39</v>
      </c>
      <c r="B26" s="120">
        <v>2388.6</v>
      </c>
      <c r="C26" s="120">
        <v>1987.2</v>
      </c>
      <c r="D26" s="120">
        <v>2050</v>
      </c>
      <c r="E26" s="120">
        <v>300</v>
      </c>
      <c r="F26" s="120">
        <v>1000</v>
      </c>
      <c r="G26" s="120">
        <v>2711</v>
      </c>
      <c r="H26" s="120">
        <v>1080</v>
      </c>
      <c r="I26" s="120">
        <v>1200</v>
      </c>
      <c r="J26" s="120">
        <f>B26+C26+D26+E26+F26+G26+H26+I26</f>
        <v>12716.8</v>
      </c>
      <c r="K26" s="121"/>
    </row>
    <row r="27" spans="1:11" ht="10.5" customHeight="1">
      <c r="A27" s="85" t="s">
        <v>40</v>
      </c>
      <c r="B27" s="96">
        <f aca="true" t="shared" si="8" ref="B27:J27">(B26/B4)/($J$26/$J$4)</f>
        <v>0.9657389605065407</v>
      </c>
      <c r="C27" s="96">
        <f t="shared" si="8"/>
        <v>0.8855385889896418</v>
      </c>
      <c r="D27" s="96">
        <f t="shared" si="8"/>
        <v>1.3137201579339741</v>
      </c>
      <c r="E27" s="96">
        <f t="shared" si="8"/>
        <v>0.41667119396785685</v>
      </c>
      <c r="F27" s="96">
        <f t="shared" si="8"/>
        <v>0.6238894227510781</v>
      </c>
      <c r="G27" s="96">
        <f t="shared" si="8"/>
        <v>1.4456894290089806</v>
      </c>
      <c r="H27" s="96">
        <f t="shared" si="8"/>
        <v>1.2406790648958492</v>
      </c>
      <c r="I27" s="96">
        <f t="shared" si="8"/>
        <v>0.8756647520561921</v>
      </c>
      <c r="J27" s="96">
        <f t="shared" si="8"/>
        <v>1</v>
      </c>
      <c r="K27" s="98" t="s">
        <v>41</v>
      </c>
    </row>
    <row r="28" spans="1:11" ht="10.5" customHeight="1">
      <c r="A28" s="99" t="s">
        <v>42</v>
      </c>
      <c r="B28" s="100">
        <f aca="true" t="shared" si="9" ref="B28:J28">B29*$K$17+B30*$K$18+B31*$K$19</f>
        <v>0.9503485778245002</v>
      </c>
      <c r="C28" s="100">
        <f t="shared" si="9"/>
        <v>0.9100732708760114</v>
      </c>
      <c r="D28" s="100">
        <f t="shared" si="9"/>
        <v>1.5020748766487848</v>
      </c>
      <c r="E28" s="100">
        <f t="shared" si="9"/>
        <v>1.8365940396618692</v>
      </c>
      <c r="F28" s="100">
        <f t="shared" si="9"/>
        <v>1.009986897056303</v>
      </c>
      <c r="G28" s="100">
        <f t="shared" si="9"/>
        <v>1.4445228181937118</v>
      </c>
      <c r="H28" s="100">
        <f t="shared" si="9"/>
        <v>1.3947416146508178</v>
      </c>
      <c r="I28" s="100">
        <f t="shared" si="9"/>
        <v>1.1908563502942953</v>
      </c>
      <c r="J28" s="100">
        <f t="shared" si="9"/>
        <v>1.2583283664041465</v>
      </c>
      <c r="K28" s="85" t="s">
        <v>43</v>
      </c>
    </row>
    <row r="29" spans="1:11" ht="10.5" customHeight="1">
      <c r="A29" s="73" t="s">
        <v>30</v>
      </c>
      <c r="B29" s="101">
        <f aca="true" t="shared" si="10" ref="B29:J29">B22*B24/$J$22*$J$24</f>
        <v>1.1011818327564356</v>
      </c>
      <c r="C29" s="101">
        <f t="shared" si="10"/>
        <v>1.0977482129321225</v>
      </c>
      <c r="D29" s="101">
        <f t="shared" si="10"/>
        <v>1.6717587920183399</v>
      </c>
      <c r="E29" s="101">
        <f t="shared" si="10"/>
        <v>2.7608977300835336</v>
      </c>
      <c r="F29" s="101">
        <f t="shared" si="10"/>
        <v>1.3569233947956831</v>
      </c>
      <c r="G29" s="101">
        <f t="shared" si="10"/>
        <v>1.5192240066357356</v>
      </c>
      <c r="H29" s="101">
        <f t="shared" si="10"/>
        <v>1.7147074650540244</v>
      </c>
      <c r="I29" s="101">
        <f t="shared" si="10"/>
        <v>1.5109221808304367</v>
      </c>
      <c r="J29" s="101">
        <f t="shared" si="10"/>
        <v>1.4296043396420892</v>
      </c>
      <c r="K29" s="72" t="s">
        <v>44</v>
      </c>
    </row>
    <row r="30" spans="1:11" ht="10.5" customHeight="1">
      <c r="A30" s="73" t="s">
        <v>31</v>
      </c>
      <c r="B30" s="101">
        <f aca="true" t="shared" si="11" ref="B30:J30">B24*B27/$J$24*$J$27</f>
        <v>0.8679262180904544</v>
      </c>
      <c r="C30" s="101">
        <f t="shared" si="11"/>
        <v>0.7697764009542224</v>
      </c>
      <c r="D30" s="101">
        <f t="shared" si="11"/>
        <v>1.5248531111988166</v>
      </c>
      <c r="E30" s="101">
        <f t="shared" si="11"/>
        <v>0.5425645826461035</v>
      </c>
      <c r="F30" s="101">
        <f t="shared" si="11"/>
        <v>0.5941352454075002</v>
      </c>
      <c r="G30" s="101">
        <f t="shared" si="11"/>
        <v>1.6359934596534567</v>
      </c>
      <c r="H30" s="101">
        <f t="shared" si="11"/>
        <v>1.1185074788584235</v>
      </c>
      <c r="I30" s="101">
        <f t="shared" si="11"/>
        <v>0.8698179630131843</v>
      </c>
      <c r="J30" s="101">
        <f t="shared" si="11"/>
        <v>1</v>
      </c>
      <c r="K30" s="72" t="s">
        <v>45</v>
      </c>
    </row>
    <row r="31" spans="1:11" ht="10.5" customHeight="1">
      <c r="A31" s="73" t="s">
        <v>66</v>
      </c>
      <c r="B31" s="101">
        <f aca="true" t="shared" si="12" ref="B31:J31">(B19*B4)/($J$19*$J$4)</f>
        <v>0.08756454100416462</v>
      </c>
      <c r="C31" s="101">
        <f t="shared" si="12"/>
        <v>0.0018282641065197325</v>
      </c>
      <c r="D31" s="101">
        <f t="shared" si="12"/>
        <v>0.02567118606147103</v>
      </c>
      <c r="E31" s="101">
        <f t="shared" si="12"/>
        <v>0.004337812756926945</v>
      </c>
      <c r="F31" s="101">
        <f t="shared" si="12"/>
        <v>0.016323272692222973</v>
      </c>
      <c r="G31" s="101">
        <f t="shared" si="12"/>
        <v>0</v>
      </c>
      <c r="H31" s="101">
        <f t="shared" si="12"/>
        <v>0.008494451218436713</v>
      </c>
      <c r="I31" s="101">
        <f t="shared" si="12"/>
        <v>0</v>
      </c>
      <c r="J31" s="101">
        <f t="shared" si="12"/>
        <v>1</v>
      </c>
      <c r="K31" s="72" t="s">
        <v>67</v>
      </c>
    </row>
    <row r="32" spans="1:11" ht="10.5" customHeight="1">
      <c r="A32" s="73"/>
      <c r="B32" s="101"/>
      <c r="C32" s="101"/>
      <c r="D32" s="101"/>
      <c r="E32" s="101"/>
      <c r="F32" s="101"/>
      <c r="G32" s="101"/>
      <c r="H32" s="101"/>
      <c r="I32" s="101"/>
      <c r="J32" s="101"/>
      <c r="K32" s="72"/>
    </row>
    <row r="33" spans="1:12" ht="10.5" customHeight="1">
      <c r="A33" s="102" t="s">
        <v>68</v>
      </c>
      <c r="B33" s="101">
        <f aca="true" t="shared" si="13" ref="B33:I33">B14/B28</f>
        <v>1.1520187532387416</v>
      </c>
      <c r="C33" s="101">
        <f t="shared" si="13"/>
        <v>1.031993423363277</v>
      </c>
      <c r="D33" s="101">
        <f t="shared" si="13"/>
        <v>0.49742983247364614</v>
      </c>
      <c r="E33" s="101">
        <f t="shared" si="13"/>
        <v>0.5072055369408807</v>
      </c>
      <c r="F33" s="101">
        <f t="shared" si="13"/>
        <v>0.7845752544813293</v>
      </c>
      <c r="G33" s="101">
        <f t="shared" si="13"/>
        <v>0.8314122149466676</v>
      </c>
      <c r="H33" s="101">
        <f t="shared" si="13"/>
        <v>0.5276281878244372</v>
      </c>
      <c r="I33" s="101">
        <f t="shared" si="13"/>
        <v>1.1654032408832684</v>
      </c>
      <c r="J33" s="103">
        <f>(B33+I33+H33+D33)/4</f>
        <v>0.8356200036050234</v>
      </c>
      <c r="K33" s="72" t="s">
        <v>69</v>
      </c>
      <c r="L33" s="104"/>
    </row>
    <row r="34" spans="1:12" ht="10.5" customHeight="1">
      <c r="A34" s="102" t="s">
        <v>68</v>
      </c>
      <c r="B34" s="101">
        <v>1.36792096374193</v>
      </c>
      <c r="C34" s="101">
        <v>1.24726725145621</v>
      </c>
      <c r="D34" s="101">
        <v>0.577976752545182</v>
      </c>
      <c r="E34" s="101">
        <v>0.709033629330755</v>
      </c>
      <c r="F34" s="101">
        <v>1.00697127328887</v>
      </c>
      <c r="G34" s="101">
        <v>1.20149521382091</v>
      </c>
      <c r="H34" s="101">
        <v>0.643985131638191</v>
      </c>
      <c r="I34" s="101">
        <v>1.47831410029971</v>
      </c>
      <c r="J34" s="103">
        <f>(D34+I34)/2</f>
        <v>1.028145426422446</v>
      </c>
      <c r="K34" s="72" t="s">
        <v>70</v>
      </c>
      <c r="L34" s="104"/>
    </row>
    <row r="35" spans="1:11" ht="10.5" customHeight="1">
      <c r="A35" s="105" t="s">
        <v>48</v>
      </c>
      <c r="B35" s="106">
        <v>0</v>
      </c>
      <c r="C35" s="106">
        <f aca="true" t="shared" si="14" ref="C35:I35">C36</f>
        <v>-643.155191810547</v>
      </c>
      <c r="D35" s="106">
        <f t="shared" si="14"/>
        <v>3349.2017283494324</v>
      </c>
      <c r="E35" s="106">
        <f t="shared" si="14"/>
        <v>1847.2999374571968</v>
      </c>
      <c r="F35" s="106">
        <f t="shared" si="14"/>
        <v>796.7770986093904</v>
      </c>
      <c r="G35" s="106">
        <f t="shared" si="14"/>
        <v>919.3637593120314</v>
      </c>
      <c r="H35" s="106">
        <f t="shared" si="14"/>
        <v>1615.226476238708</v>
      </c>
      <c r="I35" s="106">
        <f t="shared" si="14"/>
        <v>-1224.152087959474</v>
      </c>
      <c r="J35" s="106">
        <f>J40*5000/J40</f>
        <v>5000</v>
      </c>
      <c r="K35" s="107"/>
    </row>
    <row r="36" spans="1:11" s="122" customFormat="1" ht="10.5" customHeight="1">
      <c r="A36" s="131" t="s">
        <v>71</v>
      </c>
      <c r="B36" s="133">
        <f aca="true" t="shared" si="15" ref="B36:J36">B37+B38</f>
        <v>-1660.5617201967382</v>
      </c>
      <c r="C36" s="133">
        <f t="shared" si="15"/>
        <v>-643.155191810547</v>
      </c>
      <c r="D36" s="133">
        <f t="shared" si="15"/>
        <v>3349.2017283494324</v>
      </c>
      <c r="E36" s="133">
        <f t="shared" si="15"/>
        <v>1847.2999374571968</v>
      </c>
      <c r="F36" s="133">
        <f t="shared" si="15"/>
        <v>796.7770986093904</v>
      </c>
      <c r="G36" s="133">
        <f t="shared" si="15"/>
        <v>919.3637593120314</v>
      </c>
      <c r="H36" s="133">
        <f t="shared" si="15"/>
        <v>1615.226476238708</v>
      </c>
      <c r="I36" s="133">
        <f t="shared" si="15"/>
        <v>-1224.152087959474</v>
      </c>
      <c r="J36" s="133">
        <f t="shared" si="15"/>
        <v>1531.1801708838711</v>
      </c>
      <c r="K36" s="134" t="s">
        <v>72</v>
      </c>
    </row>
    <row r="37" spans="1:12" ht="10.5" customHeight="1">
      <c r="A37" s="72" t="s">
        <v>73</v>
      </c>
      <c r="B37" s="109">
        <f aca="true" t="shared" si="16" ref="B37:I37">($J$35-$J$38)*B42/$J$42</f>
        <v>272.48501932416394</v>
      </c>
      <c r="C37" s="109">
        <f t="shared" si="16"/>
        <v>399.2441813765797</v>
      </c>
      <c r="D37" s="109">
        <f t="shared" si="16"/>
        <v>1288.8348832174022</v>
      </c>
      <c r="E37" s="109">
        <f t="shared" si="16"/>
        <v>718.5331575006804</v>
      </c>
      <c r="F37" s="109">
        <f t="shared" si="16"/>
        <v>581.9939610920961</v>
      </c>
      <c r="G37" s="109">
        <f t="shared" si="16"/>
        <v>889.7377040166599</v>
      </c>
      <c r="H37" s="109">
        <f t="shared" si="16"/>
        <v>643.2892229673191</v>
      </c>
      <c r="I37" s="109">
        <f t="shared" si="16"/>
        <v>174.70169962122748</v>
      </c>
      <c r="J37" s="109">
        <v>1500</v>
      </c>
      <c r="K37" s="107" t="s">
        <v>74</v>
      </c>
      <c r="L37" s="83"/>
    </row>
    <row r="38" spans="1:11" ht="10.5" customHeight="1">
      <c r="A38" s="72" t="s">
        <v>75</v>
      </c>
      <c r="B38" s="109">
        <f aca="true" t="shared" si="17" ref="B38:I38">B40*B39</f>
        <v>-1933.046739520902</v>
      </c>
      <c r="C38" s="109">
        <f t="shared" si="17"/>
        <v>-1042.3993731871267</v>
      </c>
      <c r="D38" s="109">
        <f t="shared" si="17"/>
        <v>2060.36684513203</v>
      </c>
      <c r="E38" s="109">
        <f t="shared" si="17"/>
        <v>1128.7667799565165</v>
      </c>
      <c r="F38" s="109">
        <f t="shared" si="17"/>
        <v>214.78313751729428</v>
      </c>
      <c r="G38" s="109">
        <f t="shared" si="17"/>
        <v>29.626055295371525</v>
      </c>
      <c r="H38" s="109">
        <f t="shared" si="17"/>
        <v>971.9372532713891</v>
      </c>
      <c r="I38" s="109">
        <f t="shared" si="17"/>
        <v>-1398.8537875807017</v>
      </c>
      <c r="J38" s="109">
        <f>SUM(B38:I38)</f>
        <v>31.180170883871142</v>
      </c>
      <c r="K38" s="107" t="s">
        <v>76</v>
      </c>
    </row>
    <row r="39" spans="1:11" ht="10.5" customHeight="1">
      <c r="A39" s="85" t="s">
        <v>77</v>
      </c>
      <c r="B39" s="101">
        <v>0.65</v>
      </c>
      <c r="C39" s="101">
        <v>0.65</v>
      </c>
      <c r="D39" s="101">
        <v>0.65</v>
      </c>
      <c r="E39" s="101">
        <v>0.65</v>
      </c>
      <c r="F39" s="101">
        <v>0.65</v>
      </c>
      <c r="G39" s="101">
        <v>0.65</v>
      </c>
      <c r="H39" s="101">
        <v>0.65</v>
      </c>
      <c r="I39" s="101">
        <v>0.65</v>
      </c>
      <c r="J39" s="110"/>
      <c r="K39" s="73" t="s">
        <v>78</v>
      </c>
    </row>
    <row r="40" spans="1:11" ht="10.5" customHeight="1">
      <c r="A40" s="85" t="s">
        <v>79</v>
      </c>
      <c r="B40" s="109">
        <f aca="true" t="shared" si="18" ref="B40:I40">($J$43/$J$4)*($J$33-B33)*B28*B4</f>
        <v>-2973.9180608013876</v>
      </c>
      <c r="C40" s="109">
        <f t="shared" si="18"/>
        <v>-1603.69134336481</v>
      </c>
      <c r="D40" s="109">
        <f t="shared" si="18"/>
        <v>3169.7951463569693</v>
      </c>
      <c r="E40" s="109">
        <f t="shared" si="18"/>
        <v>1736.5642768561793</v>
      </c>
      <c r="F40" s="109">
        <f t="shared" si="18"/>
        <v>330.4355961804527</v>
      </c>
      <c r="G40" s="109">
        <f t="shared" si="18"/>
        <v>45.578546608263885</v>
      </c>
      <c r="H40" s="109">
        <f t="shared" si="18"/>
        <v>1495.2880819559832</v>
      </c>
      <c r="I40" s="109">
        <f t="shared" si="18"/>
        <v>-2152.0827501241565</v>
      </c>
      <c r="J40" s="111">
        <f>SUM(B40:I40)</f>
        <v>47.96949366749368</v>
      </c>
      <c r="K40" s="72" t="s">
        <v>80</v>
      </c>
    </row>
    <row r="41" spans="1:11" ht="10.5" customHeight="1">
      <c r="A41" s="85" t="s">
        <v>81</v>
      </c>
      <c r="B41" s="109">
        <f aca="true" t="shared" si="19" ref="B41:J41">B33+B38/(B28*B4*($J$12+$J$38)/$J$4)</f>
        <v>0.9414878752876743</v>
      </c>
      <c r="C41" s="109">
        <f t="shared" si="19"/>
        <v>0.9013270774443399</v>
      </c>
      <c r="D41" s="109">
        <f t="shared" si="19"/>
        <v>0.7224606637431605</v>
      </c>
      <c r="E41" s="109">
        <f t="shared" si="19"/>
        <v>0.725731640721871</v>
      </c>
      <c r="F41" s="109">
        <f t="shared" si="19"/>
        <v>0.8185402934084555</v>
      </c>
      <c r="G41" s="109">
        <f t="shared" si="19"/>
        <v>0.8342120662150488</v>
      </c>
      <c r="H41" s="109">
        <f t="shared" si="19"/>
        <v>0.7325651145761859</v>
      </c>
      <c r="I41" s="109">
        <f t="shared" si="19"/>
        <v>0.9459663608130728</v>
      </c>
      <c r="J41" s="109">
        <f t="shared" si="19"/>
        <v>0.836118826885553</v>
      </c>
      <c r="K41" s="112" t="s">
        <v>82</v>
      </c>
    </row>
    <row r="42" spans="1:11" ht="10.5" customHeight="1">
      <c r="A42" s="85" t="s">
        <v>83</v>
      </c>
      <c r="B42" s="109">
        <f aca="true" t="shared" si="20" ref="B42:I42">($J$43/$J$4)*(1-B41)*B28*B4</f>
        <v>549.971403677458</v>
      </c>
      <c r="C42" s="109">
        <f t="shared" si="20"/>
        <v>805.8163468448099</v>
      </c>
      <c r="D42" s="109">
        <f t="shared" si="20"/>
        <v>2601.3258695454792</v>
      </c>
      <c r="E42" s="109">
        <f t="shared" si="20"/>
        <v>1450.2547340018168</v>
      </c>
      <c r="F42" s="109">
        <f t="shared" si="20"/>
        <v>1174.6702130910114</v>
      </c>
      <c r="G42" s="109">
        <f t="shared" si="20"/>
        <v>1795.8062252246812</v>
      </c>
      <c r="H42" s="109">
        <f t="shared" si="20"/>
        <v>1298.385789440512</v>
      </c>
      <c r="I42" s="109">
        <f t="shared" si="20"/>
        <v>352.6099864272563</v>
      </c>
      <c r="J42" s="109">
        <f>SUM(B42:I42)</f>
        <v>10028.840568253025</v>
      </c>
      <c r="K42" s="72" t="s">
        <v>84</v>
      </c>
    </row>
    <row r="43" spans="1:11" ht="10.5" customHeight="1">
      <c r="A43" s="72" t="s">
        <v>53</v>
      </c>
      <c r="B43" s="113">
        <v>10381.3</v>
      </c>
      <c r="C43" s="113">
        <v>9021.4</v>
      </c>
      <c r="D43" s="113">
        <v>3881.9</v>
      </c>
      <c r="E43" s="113">
        <v>2445.5</v>
      </c>
      <c r="F43" s="113">
        <v>5126.2</v>
      </c>
      <c r="G43" s="113">
        <v>9588.5</v>
      </c>
      <c r="H43" s="113">
        <v>2432.9</v>
      </c>
      <c r="I43" s="113">
        <v>7974</v>
      </c>
      <c r="J43" s="113">
        <f>SUM(B43:I43)</f>
        <v>50851.700000000004</v>
      </c>
      <c r="K43" s="72"/>
    </row>
    <row r="44" spans="1:11" ht="10.5" customHeight="1">
      <c r="A44" s="72" t="s">
        <v>54</v>
      </c>
      <c r="B44" s="109">
        <f aca="true" t="shared" si="21" ref="B44:J44">B43/B4*1000</f>
        <v>1482.8310241394086</v>
      </c>
      <c r="C44" s="109">
        <f t="shared" si="21"/>
        <v>1420.2455919395466</v>
      </c>
      <c r="D44" s="109">
        <f t="shared" si="21"/>
        <v>878.8544260810505</v>
      </c>
      <c r="E44" s="109">
        <f t="shared" si="21"/>
        <v>1199.9509322865554</v>
      </c>
      <c r="F44" s="109">
        <f t="shared" si="21"/>
        <v>1129.8655499228564</v>
      </c>
      <c r="G44" s="109">
        <f t="shared" si="21"/>
        <v>1806.4242652599848</v>
      </c>
      <c r="H44" s="109">
        <f t="shared" si="21"/>
        <v>987.3782467532468</v>
      </c>
      <c r="I44" s="109">
        <f t="shared" si="21"/>
        <v>2055.6844547563805</v>
      </c>
      <c r="J44" s="109">
        <f t="shared" si="21"/>
        <v>1412.7041893543728</v>
      </c>
      <c r="K44" s="114" t="s">
        <v>55</v>
      </c>
    </row>
    <row r="45" spans="1:11" s="122" customFormat="1" ht="10.5" customHeight="1">
      <c r="A45" s="135" t="s">
        <v>56</v>
      </c>
      <c r="B45" s="136">
        <f aca="true" t="shared" si="22" ref="B45:J45">B11+B36</f>
        <v>188.47364234354404</v>
      </c>
      <c r="C45" s="136">
        <f t="shared" si="22"/>
        <v>1034.4726646179452</v>
      </c>
      <c r="D45" s="136">
        <f t="shared" si="22"/>
        <v>4515.776388589459</v>
      </c>
      <c r="E45" s="136">
        <f t="shared" si="22"/>
        <v>2385.556482073265</v>
      </c>
      <c r="F45" s="136">
        <f t="shared" si="22"/>
        <v>1995.0449803184692</v>
      </c>
      <c r="G45" s="136">
        <f t="shared" si="22"/>
        <v>2321.2605889597703</v>
      </c>
      <c r="H45" s="136">
        <f t="shared" si="22"/>
        <v>2265.9939570699116</v>
      </c>
      <c r="I45" s="136">
        <f t="shared" si="22"/>
        <v>-199.66870397236448</v>
      </c>
      <c r="J45" s="136">
        <f t="shared" si="22"/>
        <v>11038.090170883872</v>
      </c>
      <c r="K45" s="137"/>
    </row>
    <row r="46" spans="1:10" ht="10.5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 ht="10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2" ht="10.5" customHeight="1">
      <c r="A48" s="66" t="s">
        <v>58</v>
      </c>
      <c r="B48" s="104"/>
    </row>
    <row r="49" spans="1:2" ht="10.5" customHeight="1">
      <c r="A49" s="118" t="s">
        <v>59</v>
      </c>
      <c r="B49" s="104"/>
    </row>
  </sheetData>
  <sheetProtection/>
  <mergeCells count="2">
    <mergeCell ref="A1:K1"/>
    <mergeCell ref="A2:K2"/>
  </mergeCells>
  <printOptions/>
  <pageMargins left="0.708333333333333" right="0.708333333333333" top="0.747916666666667" bottom="0.747916666666667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zoomScalePageLayoutView="0" workbookViewId="0" topLeftCell="A4">
      <selection activeCell="C39" sqref="C39"/>
    </sheetView>
  </sheetViews>
  <sheetFormatPr defaultColWidth="9.28125" defaultRowHeight="11.25" customHeight="1"/>
  <cols>
    <col min="1" max="1" width="48.28125" style="66" customWidth="1"/>
    <col min="2" max="2" width="12.7109375" style="66" customWidth="1"/>
    <col min="3" max="3" width="11.140625" style="66" customWidth="1"/>
    <col min="4" max="4" width="11.28125" style="66" customWidth="1"/>
    <col min="5" max="5" width="11.00390625" style="66" customWidth="1"/>
    <col min="6" max="6" width="11.28125" style="66" customWidth="1"/>
    <col min="7" max="7" width="11.8515625" style="66" customWidth="1"/>
    <col min="8" max="8" width="12.140625" style="66" customWidth="1"/>
    <col min="9" max="9" width="11.28125" style="66" customWidth="1"/>
    <col min="10" max="10" width="12.8515625" style="66" customWidth="1"/>
    <col min="11" max="11" width="39.140625" style="66" customWidth="1"/>
    <col min="12" max="16384" width="9.28125" style="66" customWidth="1"/>
  </cols>
  <sheetData>
    <row r="1" spans="1:11" ht="11.2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1.25" customHeight="1">
      <c r="A2" s="221" t="s">
        <v>60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1.25" customHeight="1">
      <c r="A3" s="67"/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9" t="s">
        <v>10</v>
      </c>
      <c r="K3" s="68" t="s">
        <v>11</v>
      </c>
    </row>
    <row r="4" spans="1:11" ht="11.25" customHeight="1">
      <c r="A4" s="67" t="s">
        <v>61</v>
      </c>
      <c r="B4" s="70">
        <v>7001</v>
      </c>
      <c r="C4" s="70">
        <v>6352</v>
      </c>
      <c r="D4" s="70">
        <v>4417</v>
      </c>
      <c r="E4" s="70">
        <v>2038</v>
      </c>
      <c r="F4" s="70">
        <v>4537</v>
      </c>
      <c r="G4" s="70">
        <v>5308</v>
      </c>
      <c r="H4" s="70">
        <v>2464</v>
      </c>
      <c r="I4" s="70">
        <v>3879</v>
      </c>
      <c r="J4" s="71">
        <f>B4+C4+D4+E4+F4+G4+H4+I4</f>
        <v>35996</v>
      </c>
      <c r="K4" s="72"/>
    </row>
    <row r="5" spans="1:11" ht="11.25" customHeight="1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9"/>
      <c r="K5" s="73"/>
    </row>
    <row r="6" spans="1:11" ht="11.25" customHeight="1">
      <c r="A6" s="74" t="s">
        <v>14</v>
      </c>
      <c r="B6" s="73"/>
      <c r="C6" s="73"/>
      <c r="D6" s="73"/>
      <c r="E6" s="73"/>
      <c r="F6" s="73"/>
      <c r="G6" s="73"/>
      <c r="H6" s="73"/>
      <c r="I6" s="73"/>
      <c r="J6" s="75"/>
      <c r="K6" s="73" t="s">
        <v>15</v>
      </c>
    </row>
    <row r="7" spans="1:11" ht="11.25" customHeight="1">
      <c r="A7" s="76" t="s">
        <v>16</v>
      </c>
      <c r="B7" s="77">
        <v>4921.9</v>
      </c>
      <c r="C7" s="77">
        <v>3850</v>
      </c>
      <c r="D7" s="77">
        <v>535</v>
      </c>
      <c r="E7" s="77">
        <v>630</v>
      </c>
      <c r="F7" s="77">
        <v>860</v>
      </c>
      <c r="G7" s="77">
        <v>2520</v>
      </c>
      <c r="H7" s="77">
        <v>420</v>
      </c>
      <c r="I7" s="77">
        <v>2400</v>
      </c>
      <c r="J7" s="78">
        <f>SUM(B7:I7)</f>
        <v>16136.9</v>
      </c>
      <c r="K7" s="73"/>
    </row>
    <row r="8" spans="1:11" ht="11.25" customHeight="1">
      <c r="A8" s="76" t="s">
        <v>17</v>
      </c>
      <c r="B8" s="77">
        <v>700</v>
      </c>
      <c r="C8" s="77">
        <v>600</v>
      </c>
      <c r="D8" s="77">
        <v>250</v>
      </c>
      <c r="E8" s="77">
        <v>150</v>
      </c>
      <c r="F8" s="77">
        <v>300</v>
      </c>
      <c r="G8" s="77">
        <v>170</v>
      </c>
      <c r="H8" s="77">
        <v>130</v>
      </c>
      <c r="I8" s="77">
        <v>200</v>
      </c>
      <c r="J8" s="78">
        <f>SUM(B8:I8)</f>
        <v>2500</v>
      </c>
      <c r="K8" s="73"/>
    </row>
    <row r="9" spans="1:11" ht="11.25" customHeight="1">
      <c r="A9" s="76" t="s">
        <v>18</v>
      </c>
      <c r="B9" s="77">
        <v>3100</v>
      </c>
      <c r="C9" s="77">
        <v>2100</v>
      </c>
      <c r="D9" s="77">
        <v>2600</v>
      </c>
      <c r="E9" s="77">
        <v>1300</v>
      </c>
      <c r="F9" s="77">
        <v>2600</v>
      </c>
      <c r="G9" s="77">
        <v>4700</v>
      </c>
      <c r="H9" s="77">
        <v>1300</v>
      </c>
      <c r="I9" s="77">
        <v>3800</v>
      </c>
      <c r="J9" s="78">
        <f>SUM(B9:I9)</f>
        <v>21500</v>
      </c>
      <c r="K9" s="73"/>
    </row>
    <row r="10" spans="1:11" ht="11.25" customHeight="1">
      <c r="A10" s="79" t="s">
        <v>19</v>
      </c>
      <c r="B10" s="78">
        <f aca="true" t="shared" si="0" ref="B10:I10">SUM(B7:B9)</f>
        <v>8721.9</v>
      </c>
      <c r="C10" s="78">
        <f t="shared" si="0"/>
        <v>6550</v>
      </c>
      <c r="D10" s="78">
        <f t="shared" si="0"/>
        <v>3385</v>
      </c>
      <c r="E10" s="78">
        <f t="shared" si="0"/>
        <v>2080</v>
      </c>
      <c r="F10" s="78">
        <f t="shared" si="0"/>
        <v>3760</v>
      </c>
      <c r="G10" s="78">
        <f t="shared" si="0"/>
        <v>7390</v>
      </c>
      <c r="H10" s="78">
        <f t="shared" si="0"/>
        <v>1850</v>
      </c>
      <c r="I10" s="78">
        <f t="shared" si="0"/>
        <v>6400</v>
      </c>
      <c r="J10" s="78">
        <f>SUM(B10:I10)</f>
        <v>40136.9</v>
      </c>
      <c r="K10" s="73"/>
    </row>
    <row r="11" spans="1:12" ht="11.25" customHeight="1">
      <c r="A11" s="76" t="s">
        <v>20</v>
      </c>
      <c r="B11" s="80">
        <f aca="true" t="shared" si="1" ref="B11:I11">($J$11/$J$4)*B4</f>
        <v>1849.0353625402822</v>
      </c>
      <c r="C11" s="80">
        <f t="shared" si="1"/>
        <v>1677.6278564284921</v>
      </c>
      <c r="D11" s="80">
        <f t="shared" si="1"/>
        <v>1166.5746602400268</v>
      </c>
      <c r="E11" s="80">
        <f t="shared" si="1"/>
        <v>538.2565446160685</v>
      </c>
      <c r="F11" s="80">
        <f t="shared" si="1"/>
        <v>1198.267881709079</v>
      </c>
      <c r="G11" s="80">
        <f t="shared" si="1"/>
        <v>1401.8968296477387</v>
      </c>
      <c r="H11" s="80">
        <f t="shared" si="1"/>
        <v>650.7674808312034</v>
      </c>
      <c r="I11" s="80">
        <f t="shared" si="1"/>
        <v>1024.4833839871096</v>
      </c>
      <c r="J11" s="81">
        <v>9506.91</v>
      </c>
      <c r="K11" s="82" t="s">
        <v>21</v>
      </c>
      <c r="L11" s="83"/>
    </row>
    <row r="12" spans="1:11" ht="11.25" customHeight="1">
      <c r="A12" s="84" t="s">
        <v>22</v>
      </c>
      <c r="B12" s="78">
        <f aca="true" t="shared" si="2" ref="B12:J12">B10+B11</f>
        <v>10570.935362540282</v>
      </c>
      <c r="C12" s="78">
        <f t="shared" si="2"/>
        <v>8227.627856428491</v>
      </c>
      <c r="D12" s="78">
        <f t="shared" si="2"/>
        <v>4551.574660240027</v>
      </c>
      <c r="E12" s="78">
        <f t="shared" si="2"/>
        <v>2618.2565446160684</v>
      </c>
      <c r="F12" s="78">
        <f t="shared" si="2"/>
        <v>4958.267881709079</v>
      </c>
      <c r="G12" s="78">
        <f t="shared" si="2"/>
        <v>8791.89682964774</v>
      </c>
      <c r="H12" s="78">
        <f t="shared" si="2"/>
        <v>2500.7674808312036</v>
      </c>
      <c r="I12" s="78">
        <f t="shared" si="2"/>
        <v>7424.48338398711</v>
      </c>
      <c r="J12" s="78">
        <f t="shared" si="2"/>
        <v>49643.81</v>
      </c>
      <c r="K12" s="85" t="s">
        <v>23</v>
      </c>
    </row>
    <row r="13" spans="1:11" ht="11.25" customHeight="1">
      <c r="A13" s="73" t="s">
        <v>24</v>
      </c>
      <c r="B13" s="86">
        <f aca="true" t="shared" si="3" ref="B13:J13">B12/B4</f>
        <v>1.509917920659946</v>
      </c>
      <c r="C13" s="86">
        <f t="shared" si="3"/>
        <v>1.2952814635435281</v>
      </c>
      <c r="D13" s="86">
        <f t="shared" si="3"/>
        <v>1.0304674349649143</v>
      </c>
      <c r="E13" s="86">
        <f t="shared" si="3"/>
        <v>1.28471861855548</v>
      </c>
      <c r="F13" s="86">
        <f t="shared" si="3"/>
        <v>1.0928516380227196</v>
      </c>
      <c r="G13" s="86">
        <f t="shared" si="3"/>
        <v>1.6563483100316012</v>
      </c>
      <c r="H13" s="86">
        <f t="shared" si="3"/>
        <v>1.014921867220456</v>
      </c>
      <c r="I13" s="86">
        <f t="shared" si="3"/>
        <v>1.9140199494681902</v>
      </c>
      <c r="J13" s="86">
        <f t="shared" si="3"/>
        <v>1.3791479608845427</v>
      </c>
      <c r="K13" s="85"/>
    </row>
    <row r="14" spans="1:11" ht="11.25" customHeight="1">
      <c r="A14" s="87" t="s">
        <v>25</v>
      </c>
      <c r="B14" s="86">
        <f aca="true" t="shared" si="4" ref="B14:J14">(B12/B4)/($J$12/$J$4)</f>
        <v>1.094819383767592</v>
      </c>
      <c r="C14" s="86">
        <f t="shared" si="4"/>
        <v>0.9391896303227499</v>
      </c>
      <c r="D14" s="86">
        <f t="shared" si="4"/>
        <v>0.7471768542542777</v>
      </c>
      <c r="E14" s="86">
        <f t="shared" si="4"/>
        <v>0.9315306660291194</v>
      </c>
      <c r="F14" s="86">
        <f t="shared" si="4"/>
        <v>0.7924107267807571</v>
      </c>
      <c r="G14" s="86">
        <f t="shared" si="4"/>
        <v>1.2009939158154364</v>
      </c>
      <c r="H14" s="86">
        <f t="shared" si="4"/>
        <v>0.7359049906215405</v>
      </c>
      <c r="I14" s="86">
        <f t="shared" si="4"/>
        <v>1.3878278500593926</v>
      </c>
      <c r="J14" s="86">
        <f t="shared" si="4"/>
        <v>1</v>
      </c>
      <c r="K14" s="73" t="s">
        <v>26</v>
      </c>
    </row>
    <row r="15" spans="1:11" ht="11.25" customHeight="1">
      <c r="A15" s="69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1.25" customHeight="1">
      <c r="A16" s="74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85" t="s">
        <v>29</v>
      </c>
    </row>
    <row r="17" spans="1:11" ht="11.25" customHeight="1">
      <c r="A17" s="73" t="s">
        <v>30</v>
      </c>
      <c r="B17" s="77">
        <v>2133.4</v>
      </c>
      <c r="C17" s="77">
        <v>4028.2</v>
      </c>
      <c r="D17" s="77">
        <v>1397.1</v>
      </c>
      <c r="E17" s="77">
        <v>1124.4</v>
      </c>
      <c r="F17" s="77">
        <v>2004</v>
      </c>
      <c r="G17" s="77">
        <v>3170.1</v>
      </c>
      <c r="H17" s="77">
        <v>2962.6</v>
      </c>
      <c r="I17" s="77">
        <v>2989.5</v>
      </c>
      <c r="J17" s="77">
        <f>SUM(B17:I17)</f>
        <v>19809.3</v>
      </c>
      <c r="K17" s="88">
        <f>J17/J21</f>
        <v>0.40122214030510966</v>
      </c>
    </row>
    <row r="18" spans="1:11" ht="11.25" customHeight="1">
      <c r="A18" s="73" t="s">
        <v>31</v>
      </c>
      <c r="B18" s="77">
        <v>2805.8</v>
      </c>
      <c r="C18" s="77">
        <v>5519.9</v>
      </c>
      <c r="D18" s="77">
        <v>2328</v>
      </c>
      <c r="E18" s="77">
        <v>279.6</v>
      </c>
      <c r="F18" s="77">
        <v>1389.9</v>
      </c>
      <c r="G18" s="77">
        <v>3069.6</v>
      </c>
      <c r="H18" s="77">
        <v>365.7</v>
      </c>
      <c r="I18" s="77">
        <v>2422</v>
      </c>
      <c r="J18" s="77">
        <f>SUM(B18:I18)</f>
        <v>18180.5</v>
      </c>
      <c r="K18" s="88">
        <f>J18/J21</f>
        <v>0.3682320486749681</v>
      </c>
    </row>
    <row r="19" spans="1:11" ht="11.25" customHeight="1">
      <c r="A19" s="73" t="s">
        <v>62</v>
      </c>
      <c r="B19" s="77">
        <v>611</v>
      </c>
      <c r="C19" s="77"/>
      <c r="D19" s="77">
        <v>1148.1</v>
      </c>
      <c r="E19" s="77">
        <v>397.5</v>
      </c>
      <c r="F19" s="77">
        <v>492.3</v>
      </c>
      <c r="G19" s="77"/>
      <c r="H19" s="77">
        <v>434.9</v>
      </c>
      <c r="I19" s="77"/>
      <c r="J19" s="77">
        <f>SUM(B19:I19)</f>
        <v>3083.8</v>
      </c>
      <c r="K19" s="88">
        <f>J19/J21</f>
        <v>0.06245999789355996</v>
      </c>
    </row>
    <row r="20" spans="1:11" ht="11.25" customHeight="1">
      <c r="A20" s="73" t="s">
        <v>63</v>
      </c>
      <c r="B20" s="73">
        <v>2770.8</v>
      </c>
      <c r="C20" s="73"/>
      <c r="D20" s="73">
        <v>1155.3</v>
      </c>
      <c r="E20" s="73">
        <v>1590.3</v>
      </c>
      <c r="F20" s="73">
        <v>1408.5</v>
      </c>
      <c r="G20" s="73"/>
      <c r="H20" s="73">
        <v>323.4</v>
      </c>
      <c r="I20" s="73">
        <v>1050.5</v>
      </c>
      <c r="J20" s="77">
        <f>SUM(B20:I20)</f>
        <v>8298.8</v>
      </c>
      <c r="K20" s="88">
        <f>J20/J21</f>
        <v>0.16808581312636206</v>
      </c>
    </row>
    <row r="21" spans="1:11" ht="11.25" customHeight="1">
      <c r="A21" s="75" t="s">
        <v>32</v>
      </c>
      <c r="B21" s="78">
        <f aca="true" t="shared" si="5" ref="B21:K21">SUM(B17:B20)</f>
        <v>8321</v>
      </c>
      <c r="C21" s="78">
        <f t="shared" si="5"/>
        <v>9548.099999999999</v>
      </c>
      <c r="D21" s="78">
        <f t="shared" si="5"/>
        <v>6028.5</v>
      </c>
      <c r="E21" s="78">
        <f t="shared" si="5"/>
        <v>3391.8</v>
      </c>
      <c r="F21" s="78">
        <f t="shared" si="5"/>
        <v>5294.700000000001</v>
      </c>
      <c r="G21" s="78">
        <f t="shared" si="5"/>
        <v>6239.7</v>
      </c>
      <c r="H21" s="78">
        <f t="shared" si="5"/>
        <v>4086.6</v>
      </c>
      <c r="I21" s="78">
        <f t="shared" si="5"/>
        <v>6462</v>
      </c>
      <c r="J21" s="78">
        <f t="shared" si="5"/>
        <v>49372.40000000001</v>
      </c>
      <c r="K21" s="89">
        <f t="shared" si="5"/>
        <v>0.9999999999999998</v>
      </c>
    </row>
    <row r="22" spans="1:11" ht="11.25" customHeight="1">
      <c r="A22" s="85" t="s">
        <v>33</v>
      </c>
      <c r="B22" s="90">
        <f aca="true" t="shared" si="6" ref="B22:I22">(0.6*B4+0.4*$J$23)/B4</f>
        <v>0.8570775603485216</v>
      </c>
      <c r="C22" s="90">
        <f t="shared" si="6"/>
        <v>0.8833438287153652</v>
      </c>
      <c r="D22" s="90">
        <f t="shared" si="6"/>
        <v>1.0074711342540186</v>
      </c>
      <c r="E22" s="90">
        <f t="shared" si="6"/>
        <v>1.4831207065750738</v>
      </c>
      <c r="F22" s="90">
        <f t="shared" si="6"/>
        <v>0.9966938505620454</v>
      </c>
      <c r="G22" s="90">
        <f t="shared" si="6"/>
        <v>0.9390730972117559</v>
      </c>
      <c r="H22" s="90">
        <f t="shared" si="6"/>
        <v>1.3304383116883116</v>
      </c>
      <c r="I22" s="90">
        <f t="shared" si="6"/>
        <v>1.0639855632895079</v>
      </c>
      <c r="J22" s="91">
        <v>1</v>
      </c>
      <c r="K22" s="92" t="s">
        <v>64</v>
      </c>
    </row>
    <row r="23" spans="1:11" ht="11.25" customHeight="1">
      <c r="A23" s="85" t="s">
        <v>35</v>
      </c>
      <c r="B23" s="93"/>
      <c r="C23" s="93"/>
      <c r="D23" s="93"/>
      <c r="E23" s="93"/>
      <c r="F23" s="93"/>
      <c r="G23" s="93"/>
      <c r="H23" s="93"/>
      <c r="I23" s="93"/>
      <c r="J23" s="94">
        <f>J4/8</f>
        <v>4499.5</v>
      </c>
      <c r="K23" s="95" t="s">
        <v>65</v>
      </c>
    </row>
    <row r="24" spans="1:11" ht="11.25" customHeight="1">
      <c r="A24" s="85" t="s">
        <v>36</v>
      </c>
      <c r="B24" s="96">
        <f aca="true" t="shared" si="7" ref="B24:J24">1+B25/B4</f>
        <v>1.0745607770318526</v>
      </c>
      <c r="C24" s="96">
        <f t="shared" si="7"/>
        <v>1.0393576826196473</v>
      </c>
      <c r="D24" s="96">
        <f t="shared" si="7"/>
        <v>1.3878197871858728</v>
      </c>
      <c r="E24" s="96">
        <f t="shared" si="7"/>
        <v>1.5569185475956822</v>
      </c>
      <c r="F24" s="96">
        <f t="shared" si="7"/>
        <v>1.1386378664315626</v>
      </c>
      <c r="G24" s="96">
        <f t="shared" si="7"/>
        <v>1.353051996985682</v>
      </c>
      <c r="H24" s="96">
        <f t="shared" si="7"/>
        <v>1.077922077922078</v>
      </c>
      <c r="I24" s="96">
        <f t="shared" si="7"/>
        <v>1.1876772364011343</v>
      </c>
      <c r="J24" s="96">
        <f t="shared" si="7"/>
        <v>1.1956606289587732</v>
      </c>
      <c r="K24" s="97" t="s">
        <v>37</v>
      </c>
    </row>
    <row r="25" spans="1:11" ht="11.25" customHeight="1">
      <c r="A25" s="85" t="s">
        <v>38</v>
      </c>
      <c r="B25" s="73">
        <v>522</v>
      </c>
      <c r="C25" s="73">
        <v>250</v>
      </c>
      <c r="D25" s="73">
        <v>1713</v>
      </c>
      <c r="E25" s="73">
        <v>1135</v>
      </c>
      <c r="F25" s="73">
        <v>629</v>
      </c>
      <c r="G25" s="73">
        <v>1874</v>
      </c>
      <c r="H25" s="73">
        <v>192</v>
      </c>
      <c r="I25" s="73">
        <v>728</v>
      </c>
      <c r="J25" s="73">
        <f>SUM(B25:I25)</f>
        <v>7043</v>
      </c>
      <c r="K25" s="89"/>
    </row>
    <row r="26" spans="1:11" ht="11.25" customHeight="1">
      <c r="A26" s="85" t="s">
        <v>39</v>
      </c>
      <c r="B26" s="77">
        <v>2413.8</v>
      </c>
      <c r="C26" s="77">
        <v>1987.2</v>
      </c>
      <c r="D26" s="77">
        <v>2050</v>
      </c>
      <c r="E26" s="77">
        <v>280</v>
      </c>
      <c r="F26" s="77">
        <v>1000</v>
      </c>
      <c r="G26" s="77">
        <v>1591.8</v>
      </c>
      <c r="H26" s="77">
        <v>1080</v>
      </c>
      <c r="I26" s="77">
        <v>1130</v>
      </c>
      <c r="J26" s="77">
        <f>B26+C26+D26+E26+F26+G26+H26+I26</f>
        <v>11532.8</v>
      </c>
      <c r="K26" s="89"/>
    </row>
    <row r="27" spans="1:11" ht="11.25" customHeight="1">
      <c r="A27" s="85" t="s">
        <v>40</v>
      </c>
      <c r="B27" s="96">
        <f aca="true" t="shared" si="8" ref="B27:J27">(B26/B4)/($J$26/$J$4)</f>
        <v>1.0761199624883144</v>
      </c>
      <c r="C27" s="96">
        <f t="shared" si="8"/>
        <v>0.9764512632199879</v>
      </c>
      <c r="D27" s="96">
        <f t="shared" si="8"/>
        <v>1.448591539297895</v>
      </c>
      <c r="E27" s="96">
        <f t="shared" si="8"/>
        <v>0.42881832311497753</v>
      </c>
      <c r="F27" s="96">
        <f t="shared" si="8"/>
        <v>0.6879402236439468</v>
      </c>
      <c r="G27" s="96">
        <f t="shared" si="8"/>
        <v>0.9360026292689946</v>
      </c>
      <c r="H27" s="96">
        <f t="shared" si="8"/>
        <v>1.3680517768857117</v>
      </c>
      <c r="I27" s="96">
        <f t="shared" si="8"/>
        <v>0.9092391899922719</v>
      </c>
      <c r="J27" s="96">
        <f t="shared" si="8"/>
        <v>1</v>
      </c>
      <c r="K27" s="98" t="s">
        <v>41</v>
      </c>
    </row>
    <row r="28" spans="1:11" ht="11.25" customHeight="1">
      <c r="A28" s="99" t="s">
        <v>42</v>
      </c>
      <c r="B28" s="123">
        <f aca="true" t="shared" si="9" ref="B28:J28">B29*$K$17+B30*$K$18+B31*$K$19</f>
        <v>0.8003528074989996</v>
      </c>
      <c r="C28" s="123">
        <f t="shared" si="9"/>
        <v>0.7529979074061544</v>
      </c>
      <c r="D28" s="123">
        <f t="shared" si="9"/>
        <v>1.2927455143550408</v>
      </c>
      <c r="E28" s="123">
        <f t="shared" si="9"/>
        <v>1.3138032210240513</v>
      </c>
      <c r="F28" s="123">
        <f t="shared" si="9"/>
        <v>0.7869248585341132</v>
      </c>
      <c r="G28" s="123">
        <f t="shared" si="9"/>
        <v>0.9995827715335832</v>
      </c>
      <c r="H28" s="123">
        <f t="shared" si="9"/>
        <v>1.142735995704623</v>
      </c>
      <c r="I28" s="123">
        <f t="shared" si="9"/>
        <v>0.9387909171521978</v>
      </c>
      <c r="J28" s="123">
        <f t="shared" si="9"/>
        <v>1.0042809595092002</v>
      </c>
      <c r="K28" s="85" t="s">
        <v>43</v>
      </c>
    </row>
    <row r="29" spans="1:11" ht="11.25" customHeight="1">
      <c r="A29" s="73" t="s">
        <v>30</v>
      </c>
      <c r="B29" s="101">
        <f aca="true" t="shared" si="10" ref="B29:J29">B22*B24/$J$22*$J$24</f>
        <v>1.1011818327564356</v>
      </c>
      <c r="C29" s="101">
        <f t="shared" si="10"/>
        <v>1.0977482129321225</v>
      </c>
      <c r="D29" s="101">
        <f t="shared" si="10"/>
        <v>1.6717587920183399</v>
      </c>
      <c r="E29" s="101">
        <f t="shared" si="10"/>
        <v>2.7608977300835336</v>
      </c>
      <c r="F29" s="101">
        <f t="shared" si="10"/>
        <v>1.3569233947956831</v>
      </c>
      <c r="G29" s="101">
        <f t="shared" si="10"/>
        <v>1.5192240066357356</v>
      </c>
      <c r="H29" s="101">
        <f t="shared" si="10"/>
        <v>1.7147074650540244</v>
      </c>
      <c r="I29" s="101">
        <f t="shared" si="10"/>
        <v>1.5109221808304367</v>
      </c>
      <c r="J29" s="101">
        <f t="shared" si="10"/>
        <v>1.4296043396420892</v>
      </c>
      <c r="K29" s="72" t="s">
        <v>44</v>
      </c>
    </row>
    <row r="30" spans="1:11" ht="11.25" customHeight="1">
      <c r="A30" s="73" t="s">
        <v>31</v>
      </c>
      <c r="B30" s="101">
        <f aca="true" t="shared" si="11" ref="B30:J30">B24*B27/$J$24*$J$27</f>
        <v>0.9671275235331034</v>
      </c>
      <c r="C30" s="101">
        <f t="shared" si="11"/>
        <v>0.8488044998313208</v>
      </c>
      <c r="D30" s="101">
        <f t="shared" si="11"/>
        <v>1.6814001842131234</v>
      </c>
      <c r="E30" s="101">
        <f t="shared" si="11"/>
        <v>0.5583818557176955</v>
      </c>
      <c r="F30" s="101">
        <f t="shared" si="11"/>
        <v>0.655131372155773</v>
      </c>
      <c r="G30" s="101">
        <f t="shared" si="11"/>
        <v>1.059213790303645</v>
      </c>
      <c r="H30" s="101">
        <f t="shared" si="11"/>
        <v>1.2333376029365635</v>
      </c>
      <c r="I30" s="101">
        <f t="shared" si="11"/>
        <v>0.9031682253667834</v>
      </c>
      <c r="J30" s="101">
        <f t="shared" si="11"/>
        <v>1</v>
      </c>
      <c r="K30" s="72" t="s">
        <v>45</v>
      </c>
    </row>
    <row r="31" spans="1:11" ht="11.25" customHeight="1">
      <c r="A31" s="73" t="s">
        <v>66</v>
      </c>
      <c r="B31" s="101">
        <f aca="true" t="shared" si="12" ref="B31:J31">(B19*B4)/($J$19*$J$4)</f>
        <v>0.03853548600686555</v>
      </c>
      <c r="C31" s="101">
        <f t="shared" si="12"/>
        <v>0</v>
      </c>
      <c r="D31" s="101">
        <f t="shared" si="12"/>
        <v>0.04568426782775677</v>
      </c>
      <c r="E31" s="101">
        <f t="shared" si="12"/>
        <v>0.007297949694722549</v>
      </c>
      <c r="F31" s="101">
        <f t="shared" si="12"/>
        <v>0.02012139875656605</v>
      </c>
      <c r="G31" s="101">
        <f t="shared" si="12"/>
        <v>0</v>
      </c>
      <c r="H31" s="101">
        <f t="shared" si="12"/>
        <v>0.009653608095230417</v>
      </c>
      <c r="I31" s="101">
        <f t="shared" si="12"/>
        <v>0</v>
      </c>
      <c r="J31" s="101">
        <f t="shared" si="12"/>
        <v>1</v>
      </c>
      <c r="K31" s="72" t="s">
        <v>67</v>
      </c>
    </row>
    <row r="32" spans="1:11" ht="11.25" customHeight="1">
      <c r="A32" s="73" t="s">
        <v>63</v>
      </c>
      <c r="B32" s="101">
        <f>B20*B24/(J20*J24)</f>
        <v>0.30006333783337247</v>
      </c>
      <c r="C32" s="101">
        <f>C20*C24/(J20*J24)</f>
        <v>0</v>
      </c>
      <c r="D32" s="101">
        <f>D20*D24/(J20*J24)</f>
        <v>0.16158633155929586</v>
      </c>
      <c r="E32" s="101">
        <f>E20*E24/(J20*J24)</f>
        <v>0.2495294010713656</v>
      </c>
      <c r="F32" s="101">
        <f>F20*F24/(J20*J24)</f>
        <v>0.1616289853932484</v>
      </c>
      <c r="G32" s="101">
        <f>G20*G24/(J20*J24)</f>
        <v>0</v>
      </c>
      <c r="H32" s="101">
        <f>H20*H24/(J20*J24)</f>
        <v>0.035132103667062604</v>
      </c>
      <c r="I32" s="101">
        <f>I20*I24/(J20*J24)</f>
        <v>0.12573936483581172</v>
      </c>
      <c r="J32" s="101"/>
      <c r="K32" s="72"/>
    </row>
    <row r="33" spans="1:12" ht="11.25" customHeight="1">
      <c r="A33" s="102" t="s">
        <v>68</v>
      </c>
      <c r="B33" s="101">
        <f aca="true" t="shared" si="13" ref="B33:I33">B14/B28</f>
        <v>1.3679209637419312</v>
      </c>
      <c r="C33" s="101">
        <f t="shared" si="13"/>
        <v>1.2472672514562075</v>
      </c>
      <c r="D33" s="101">
        <f t="shared" si="13"/>
        <v>0.5779767525451822</v>
      </c>
      <c r="E33" s="101">
        <f t="shared" si="13"/>
        <v>0.7090336293307551</v>
      </c>
      <c r="F33" s="101">
        <f t="shared" si="13"/>
        <v>1.0069712732888665</v>
      </c>
      <c r="G33" s="101">
        <f t="shared" si="13"/>
        <v>1.2014952138209058</v>
      </c>
      <c r="H33" s="101">
        <f t="shared" si="13"/>
        <v>0.6439851316381906</v>
      </c>
      <c r="I33" s="101">
        <f t="shared" si="13"/>
        <v>1.4783141002997118</v>
      </c>
      <c r="J33" s="103">
        <f>(B33+I33+H33+D33)/4</f>
        <v>1.017049237056254</v>
      </c>
      <c r="K33" s="72" t="s">
        <v>69</v>
      </c>
      <c r="L33" s="104"/>
    </row>
    <row r="34" spans="1:12" ht="11.25" customHeight="1">
      <c r="A34" s="102" t="s">
        <v>68</v>
      </c>
      <c r="B34" s="101"/>
      <c r="C34" s="101"/>
      <c r="D34" s="101"/>
      <c r="E34" s="101"/>
      <c r="F34" s="101"/>
      <c r="G34" s="101"/>
      <c r="H34" s="101"/>
      <c r="I34" s="101"/>
      <c r="J34" s="103">
        <f>(B34+H34)/2</f>
        <v>0</v>
      </c>
      <c r="K34" s="72" t="s">
        <v>70</v>
      </c>
      <c r="L34" s="104"/>
    </row>
    <row r="35" spans="1:11" ht="11.25" customHeight="1">
      <c r="A35" s="105" t="s">
        <v>48</v>
      </c>
      <c r="B35" s="106">
        <v>0</v>
      </c>
      <c r="C35" s="106">
        <f aca="true" t="shared" si="14" ref="C35:I35">C36</f>
        <v>2412.884156008445</v>
      </c>
      <c r="D35" s="106">
        <f t="shared" si="14"/>
        <v>-4246.815280972135</v>
      </c>
      <c r="E35" s="106">
        <f t="shared" si="14"/>
        <v>-1336.9591997097073</v>
      </c>
      <c r="F35" s="106">
        <f t="shared" si="14"/>
        <v>201.0801727623814</v>
      </c>
      <c r="G35" s="106">
        <f t="shared" si="14"/>
        <v>2223.6689587273813</v>
      </c>
      <c r="H35" s="106">
        <f t="shared" si="14"/>
        <v>-1747.5345947598785</v>
      </c>
      <c r="I35" s="106">
        <f t="shared" si="14"/>
        <v>3406.188888409605</v>
      </c>
      <c r="J35" s="106">
        <f>J40*5000/J40</f>
        <v>5000</v>
      </c>
      <c r="K35" s="107"/>
    </row>
    <row r="36" spans="1:11" ht="11.25" customHeight="1">
      <c r="A36" s="105" t="s">
        <v>71</v>
      </c>
      <c r="B36" s="108">
        <f aca="true" t="shared" si="15" ref="B36:J36">B37+B38</f>
        <v>4087.4868995339066</v>
      </c>
      <c r="C36" s="108">
        <f t="shared" si="15"/>
        <v>2412.884156008445</v>
      </c>
      <c r="D36" s="108">
        <f t="shared" si="15"/>
        <v>-4246.815280972135</v>
      </c>
      <c r="E36" s="108">
        <f t="shared" si="15"/>
        <v>-1336.9591997097073</v>
      </c>
      <c r="F36" s="108">
        <f t="shared" si="15"/>
        <v>201.0801727623814</v>
      </c>
      <c r="G36" s="108">
        <f t="shared" si="15"/>
        <v>2223.6689587273813</v>
      </c>
      <c r="H36" s="108">
        <f t="shared" si="15"/>
        <v>-1747.5345947598785</v>
      </c>
      <c r="I36" s="108">
        <f t="shared" si="15"/>
        <v>3406.188888409605</v>
      </c>
      <c r="J36" s="108">
        <f t="shared" si="15"/>
        <v>4999.999999999999</v>
      </c>
      <c r="K36" s="107" t="s">
        <v>72</v>
      </c>
    </row>
    <row r="37" spans="1:12" ht="11.25" customHeight="1">
      <c r="A37" s="72" t="s">
        <v>73</v>
      </c>
      <c r="B37" s="109">
        <f aca="true" t="shared" si="16" ref="B37:I37">($J$35-$J$38)*B42/$J$42</f>
        <v>5264.0457054288545</v>
      </c>
      <c r="C37" s="109">
        <f t="shared" si="16"/>
        <v>3071.856634179257</v>
      </c>
      <c r="D37" s="109">
        <f t="shared" si="16"/>
        <v>-5747.192200918228</v>
      </c>
      <c r="E37" s="109">
        <f t="shared" si="16"/>
        <v>-1830.5089536378948</v>
      </c>
      <c r="F37" s="109">
        <f t="shared" si="16"/>
        <v>179.5474697366119</v>
      </c>
      <c r="G37" s="109">
        <f t="shared" si="16"/>
        <v>2809.32493201894</v>
      </c>
      <c r="H37" s="109">
        <f t="shared" si="16"/>
        <v>-2376.1626950839536</v>
      </c>
      <c r="I37" s="109">
        <f t="shared" si="16"/>
        <v>4411.41265127401</v>
      </c>
      <c r="J37" s="109">
        <f>SUM(B37:I37)</f>
        <v>5782.3235429975975</v>
      </c>
      <c r="K37" s="107" t="s">
        <v>74</v>
      </c>
      <c r="L37" s="83"/>
    </row>
    <row r="38" spans="1:11" ht="11.25" customHeight="1">
      <c r="A38" s="72" t="s">
        <v>75</v>
      </c>
      <c r="B38" s="109">
        <f aca="true" t="shared" si="17" ref="B38:I38">B40*B39</f>
        <v>-1176.5588058949477</v>
      </c>
      <c r="C38" s="109">
        <f t="shared" si="17"/>
        <v>-658.9724781708119</v>
      </c>
      <c r="D38" s="109">
        <f t="shared" si="17"/>
        <v>1500.376919946093</v>
      </c>
      <c r="E38" s="109">
        <f t="shared" si="17"/>
        <v>493.54975392818756</v>
      </c>
      <c r="F38" s="109">
        <f t="shared" si="17"/>
        <v>21.532703025769518</v>
      </c>
      <c r="G38" s="109">
        <f t="shared" si="17"/>
        <v>-585.6559732915589</v>
      </c>
      <c r="H38" s="109">
        <f t="shared" si="17"/>
        <v>628.6281003240751</v>
      </c>
      <c r="I38" s="109">
        <f t="shared" si="17"/>
        <v>-1005.2237628644051</v>
      </c>
      <c r="J38" s="109">
        <f>SUM(B38:I38)</f>
        <v>-782.3235429975983</v>
      </c>
      <c r="K38" s="107" t="s">
        <v>76</v>
      </c>
    </row>
    <row r="39" spans="1:11" ht="11.25" customHeight="1">
      <c r="A39" s="85" t="s">
        <v>85</v>
      </c>
      <c r="B39" s="101">
        <v>0.4</v>
      </c>
      <c r="C39" s="101">
        <v>0.4</v>
      </c>
      <c r="D39" s="101">
        <v>0.4</v>
      </c>
      <c r="E39" s="101">
        <v>0.4</v>
      </c>
      <c r="F39" s="101">
        <v>0.4</v>
      </c>
      <c r="G39" s="101">
        <v>0.4</v>
      </c>
      <c r="H39" s="101">
        <v>0.4</v>
      </c>
      <c r="I39" s="101">
        <v>0.4</v>
      </c>
      <c r="J39" s="110"/>
      <c r="K39" s="73" t="s">
        <v>78</v>
      </c>
    </row>
    <row r="40" spans="1:11" ht="11.25" customHeight="1">
      <c r="A40" s="85" t="s">
        <v>79</v>
      </c>
      <c r="B40" s="109">
        <f aca="true" t="shared" si="18" ref="B40:I40">($J$43/$J$4)*($J$33-B33)*B28*B4</f>
        <v>-2941.397014737369</v>
      </c>
      <c r="C40" s="109">
        <f t="shared" si="18"/>
        <v>-1647.4311954270295</v>
      </c>
      <c r="D40" s="109">
        <f t="shared" si="18"/>
        <v>3750.942299865232</v>
      </c>
      <c r="E40" s="109">
        <f t="shared" si="18"/>
        <v>1233.8743848204688</v>
      </c>
      <c r="F40" s="109">
        <f t="shared" si="18"/>
        <v>53.83175756442379</v>
      </c>
      <c r="G40" s="109">
        <f t="shared" si="18"/>
        <v>-1464.1399332288972</v>
      </c>
      <c r="H40" s="109">
        <f t="shared" si="18"/>
        <v>1571.5702508101876</v>
      </c>
      <c r="I40" s="109">
        <f t="shared" si="18"/>
        <v>-2513.0594071610126</v>
      </c>
      <c r="J40" s="111">
        <f>SUM(B40:I40)</f>
        <v>-1955.8088574939957</v>
      </c>
      <c r="K40" s="72" t="s">
        <v>80</v>
      </c>
    </row>
    <row r="41" spans="1:11" ht="11.25" customHeight="1">
      <c r="A41" s="85" t="s">
        <v>81</v>
      </c>
      <c r="B41" s="109">
        <f aca="true" t="shared" si="19" ref="B41:J41">B33+B38/(B28*B4*($J$12+$J$38)/$J$4)</f>
        <v>1.2132318837397613</v>
      </c>
      <c r="C41" s="109">
        <f t="shared" si="19"/>
        <v>1.1457708636342336</v>
      </c>
      <c r="D41" s="109">
        <f t="shared" si="19"/>
        <v>0.7715509664747345</v>
      </c>
      <c r="E41" s="109">
        <f t="shared" si="19"/>
        <v>0.8448287001831016</v>
      </c>
      <c r="F41" s="109">
        <f t="shared" si="19"/>
        <v>1.0114143526962562</v>
      </c>
      <c r="G41" s="109">
        <f t="shared" si="19"/>
        <v>1.1201783783912296</v>
      </c>
      <c r="H41" s="109">
        <f t="shared" si="19"/>
        <v>0.8084581822144498</v>
      </c>
      <c r="I41" s="109">
        <f t="shared" si="19"/>
        <v>1.2749559157960704</v>
      </c>
      <c r="J41" s="109">
        <f t="shared" si="19"/>
        <v>1.0011064407907673</v>
      </c>
      <c r="K41" s="112" t="s">
        <v>82</v>
      </c>
    </row>
    <row r="42" spans="1:11" ht="11.25" customHeight="1">
      <c r="A42" s="85" t="s">
        <v>83</v>
      </c>
      <c r="B42" s="109">
        <f aca="true" t="shared" si="20" ref="B42:I42">($J$43/$J$4)*(1-B41)*B28*B4</f>
        <v>-1787.546782989518</v>
      </c>
      <c r="C42" s="109">
        <f t="shared" si="20"/>
        <v>-1043.1306549198719</v>
      </c>
      <c r="D42" s="109">
        <f t="shared" si="20"/>
        <v>1951.6120309097637</v>
      </c>
      <c r="E42" s="109">
        <f t="shared" si="20"/>
        <v>621.5980206886051</v>
      </c>
      <c r="F42" s="109">
        <f t="shared" si="20"/>
        <v>-60.97012067934565</v>
      </c>
      <c r="G42" s="109">
        <f t="shared" si="20"/>
        <v>-953.9810301083972</v>
      </c>
      <c r="H42" s="109">
        <f t="shared" si="20"/>
        <v>806.8892671422933</v>
      </c>
      <c r="I42" s="109">
        <f t="shared" si="20"/>
        <v>-1498.0125429176321</v>
      </c>
      <c r="J42" s="109">
        <f>SUM(B42:I42)</f>
        <v>-1963.541812874103</v>
      </c>
      <c r="K42" s="72" t="s">
        <v>84</v>
      </c>
    </row>
    <row r="43" spans="1:11" ht="11.25" customHeight="1">
      <c r="A43" s="72" t="s">
        <v>53</v>
      </c>
      <c r="B43" s="113">
        <v>12930</v>
      </c>
      <c r="C43" s="113">
        <v>9475</v>
      </c>
      <c r="D43" s="113">
        <v>3881.9</v>
      </c>
      <c r="E43" s="113">
        <v>2445.5</v>
      </c>
      <c r="F43" s="113">
        <v>5126.2</v>
      </c>
      <c r="G43" s="113">
        <v>9588.5</v>
      </c>
      <c r="H43" s="113">
        <v>2432.9</v>
      </c>
      <c r="I43" s="113">
        <v>7974</v>
      </c>
      <c r="J43" s="113">
        <f>SUM(B43:I43)</f>
        <v>53854</v>
      </c>
      <c r="K43" s="72"/>
    </row>
    <row r="44" spans="1:11" ht="11.25" customHeight="1">
      <c r="A44" s="72" t="s">
        <v>54</v>
      </c>
      <c r="B44" s="109">
        <f aca="true" t="shared" si="21" ref="B44:J44">B43/B4*1000</f>
        <v>1846.8790172832453</v>
      </c>
      <c r="C44" s="109">
        <f t="shared" si="21"/>
        <v>1491.6561712846349</v>
      </c>
      <c r="D44" s="109">
        <f t="shared" si="21"/>
        <v>878.8544260810505</v>
      </c>
      <c r="E44" s="109">
        <f t="shared" si="21"/>
        <v>1199.9509322865554</v>
      </c>
      <c r="F44" s="109">
        <f t="shared" si="21"/>
        <v>1129.8655499228564</v>
      </c>
      <c r="G44" s="109">
        <f t="shared" si="21"/>
        <v>1806.4242652599848</v>
      </c>
      <c r="H44" s="109">
        <f t="shared" si="21"/>
        <v>987.3782467532468</v>
      </c>
      <c r="I44" s="109">
        <f t="shared" si="21"/>
        <v>2055.6844547563805</v>
      </c>
      <c r="J44" s="109">
        <f t="shared" si="21"/>
        <v>1496.1106789643295</v>
      </c>
      <c r="K44" s="114" t="s">
        <v>55</v>
      </c>
    </row>
    <row r="45" spans="1:11" ht="11.25" customHeight="1">
      <c r="A45" s="84" t="s">
        <v>56</v>
      </c>
      <c r="B45" s="115">
        <f aca="true" t="shared" si="22" ref="B45:J45">B11+B36</f>
        <v>5936.522262074189</v>
      </c>
      <c r="C45" s="115">
        <f t="shared" si="22"/>
        <v>4090.5120124369373</v>
      </c>
      <c r="D45" s="115">
        <f t="shared" si="22"/>
        <v>-3080.2406207321083</v>
      </c>
      <c r="E45" s="115">
        <f t="shared" si="22"/>
        <v>-798.7026550936388</v>
      </c>
      <c r="F45" s="115">
        <f t="shared" si="22"/>
        <v>1399.3480544714603</v>
      </c>
      <c r="G45" s="115">
        <f t="shared" si="22"/>
        <v>3625.56578837512</v>
      </c>
      <c r="H45" s="115">
        <f t="shared" si="22"/>
        <v>-1096.767113928675</v>
      </c>
      <c r="I45" s="115">
        <f t="shared" si="22"/>
        <v>4430.672272396715</v>
      </c>
      <c r="J45" s="115">
        <f t="shared" si="22"/>
        <v>14506.91</v>
      </c>
      <c r="K45" s="72"/>
    </row>
    <row r="46" spans="1:2" ht="11.25" customHeight="1">
      <c r="A46" s="66" t="s">
        <v>58</v>
      </c>
      <c r="B46" s="104"/>
    </row>
    <row r="47" spans="1:2" ht="11.25" customHeight="1">
      <c r="A47" s="118" t="s">
        <v>59</v>
      </c>
      <c r="B47" s="104"/>
    </row>
    <row r="49" spans="1:9" ht="11.25" customHeight="1">
      <c r="A49" s="66" t="s">
        <v>86</v>
      </c>
      <c r="D49" s="66">
        <f aca="true" t="shared" si="23" ref="D49:I49">D43*0.2</f>
        <v>776.3800000000001</v>
      </c>
      <c r="E49" s="66">
        <f t="shared" si="23"/>
        <v>489.1</v>
      </c>
      <c r="F49" s="66">
        <f t="shared" si="23"/>
        <v>1025.24</v>
      </c>
      <c r="G49" s="66">
        <f t="shared" si="23"/>
        <v>1917.7</v>
      </c>
      <c r="H49" s="66">
        <f t="shared" si="23"/>
        <v>486.58000000000004</v>
      </c>
      <c r="I49" s="66">
        <f t="shared" si="23"/>
        <v>1594.8000000000002</v>
      </c>
    </row>
  </sheetData>
  <sheetProtection/>
  <mergeCells count="2">
    <mergeCell ref="A1:K1"/>
    <mergeCell ref="A2:K2"/>
  </mergeCells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90" zoomScaleNormal="90" zoomScaleSheetLayoutView="90" workbookViewId="0" topLeftCell="A4">
      <selection activeCell="B33" sqref="B33"/>
    </sheetView>
  </sheetViews>
  <sheetFormatPr defaultColWidth="9.28125" defaultRowHeight="12" customHeight="1"/>
  <cols>
    <col min="1" max="1" width="48.28125" style="1" customWidth="1"/>
    <col min="2" max="2" width="12.7109375" style="1" customWidth="1"/>
    <col min="3" max="3" width="11.140625" style="1" customWidth="1"/>
    <col min="4" max="4" width="11.28125" style="1" customWidth="1"/>
    <col min="5" max="5" width="11.00390625" style="1" customWidth="1"/>
    <col min="6" max="6" width="11.28125" style="1" customWidth="1"/>
    <col min="7" max="7" width="11.8515625" style="1" customWidth="1"/>
    <col min="8" max="8" width="12.140625" style="1" customWidth="1"/>
    <col min="9" max="9" width="11.28125" style="1" customWidth="1"/>
    <col min="10" max="10" width="12.8515625" style="1" customWidth="1"/>
    <col min="11" max="11" width="39.140625" style="1" customWidth="1"/>
    <col min="12" max="16384" width="9.28125" style="1" customWidth="1"/>
  </cols>
  <sheetData>
    <row r="1" spans="1:11" ht="12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" customHeight="1">
      <c r="A2" s="224" t="s">
        <v>87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" customHeight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8" t="s">
        <v>11</v>
      </c>
    </row>
    <row r="4" spans="1:11" ht="12" customHeight="1">
      <c r="A4" s="7" t="s">
        <v>61</v>
      </c>
      <c r="B4" s="10">
        <v>6942</v>
      </c>
      <c r="C4" s="10">
        <v>6361</v>
      </c>
      <c r="D4" s="10">
        <v>4439</v>
      </c>
      <c r="E4" s="10">
        <v>1951</v>
      </c>
      <c r="F4" s="10">
        <v>4570</v>
      </c>
      <c r="G4" s="10">
        <v>5225</v>
      </c>
      <c r="H4" s="10">
        <v>2440</v>
      </c>
      <c r="I4" s="10">
        <v>3818</v>
      </c>
      <c r="J4" s="11">
        <f>B4+C4+D4+E4+F4+G4+H4+I4</f>
        <v>35746</v>
      </c>
      <c r="K4" s="12"/>
    </row>
    <row r="5" spans="1:11" ht="12" customHeight="1">
      <c r="A5" s="7" t="s">
        <v>13</v>
      </c>
      <c r="B5" s="8"/>
      <c r="C5" s="8"/>
      <c r="D5" s="8"/>
      <c r="E5" s="8"/>
      <c r="F5" s="8"/>
      <c r="G5" s="8"/>
      <c r="H5" s="8"/>
      <c r="I5" s="8"/>
      <c r="J5" s="9"/>
      <c r="K5" s="13"/>
    </row>
    <row r="6" spans="1:11" ht="12" customHeight="1">
      <c r="A6" s="14" t="s">
        <v>14</v>
      </c>
      <c r="B6" s="13"/>
      <c r="C6" s="13"/>
      <c r="D6" s="13"/>
      <c r="E6" s="13"/>
      <c r="F6" s="13"/>
      <c r="G6" s="13"/>
      <c r="H6" s="13"/>
      <c r="I6" s="13"/>
      <c r="J6" s="15"/>
      <c r="K6" s="13" t="s">
        <v>15</v>
      </c>
    </row>
    <row r="7" spans="1:11" ht="12" customHeight="1">
      <c r="A7" s="16" t="s">
        <v>16</v>
      </c>
      <c r="B7" s="17">
        <v>5500</v>
      </c>
      <c r="C7" s="17">
        <v>4200</v>
      </c>
      <c r="D7" s="17">
        <v>470</v>
      </c>
      <c r="E7" s="17">
        <v>490</v>
      </c>
      <c r="F7" s="17">
        <v>940</v>
      </c>
      <c r="G7" s="17">
        <v>2800</v>
      </c>
      <c r="H7" s="17">
        <v>380</v>
      </c>
      <c r="I7" s="17">
        <v>2620</v>
      </c>
      <c r="J7" s="18">
        <f>SUM(B7:I7)</f>
        <v>17400</v>
      </c>
      <c r="K7" s="13"/>
    </row>
    <row r="8" spans="1:11" ht="12" customHeight="1">
      <c r="A8" s="16" t="s">
        <v>17</v>
      </c>
      <c r="B8" s="17">
        <v>590</v>
      </c>
      <c r="C8" s="17">
        <v>600</v>
      </c>
      <c r="D8" s="17">
        <v>380</v>
      </c>
      <c r="E8" s="17">
        <v>150</v>
      </c>
      <c r="F8" s="17">
        <v>450</v>
      </c>
      <c r="G8" s="17">
        <v>450</v>
      </c>
      <c r="H8" s="17">
        <v>180</v>
      </c>
      <c r="I8" s="17">
        <v>400</v>
      </c>
      <c r="J8" s="18">
        <f>SUM(B8:I8)</f>
        <v>3200</v>
      </c>
      <c r="K8" s="13"/>
    </row>
    <row r="9" spans="1:11" ht="12" customHeight="1">
      <c r="A9" s="16" t="s">
        <v>18</v>
      </c>
      <c r="B9" s="17">
        <v>2850</v>
      </c>
      <c r="C9" s="17">
        <v>2400</v>
      </c>
      <c r="D9" s="17">
        <v>2750</v>
      </c>
      <c r="E9" s="17">
        <v>1530</v>
      </c>
      <c r="F9" s="17">
        <v>2800</v>
      </c>
      <c r="G9" s="17">
        <v>5970</v>
      </c>
      <c r="H9" s="17">
        <v>1300</v>
      </c>
      <c r="I9" s="17">
        <v>4400</v>
      </c>
      <c r="J9" s="18">
        <f>SUM(B9:I9)</f>
        <v>24000</v>
      </c>
      <c r="K9" s="13"/>
    </row>
    <row r="10" spans="1:11" ht="12" customHeight="1">
      <c r="A10" s="19" t="s">
        <v>19</v>
      </c>
      <c r="B10" s="18">
        <f aca="true" t="shared" si="0" ref="B10:I10">SUM(B7:B9)</f>
        <v>8940</v>
      </c>
      <c r="C10" s="18">
        <f t="shared" si="0"/>
        <v>7200</v>
      </c>
      <c r="D10" s="18">
        <f t="shared" si="0"/>
        <v>3600</v>
      </c>
      <c r="E10" s="18">
        <f t="shared" si="0"/>
        <v>2170</v>
      </c>
      <c r="F10" s="18">
        <f t="shared" si="0"/>
        <v>4190</v>
      </c>
      <c r="G10" s="18">
        <f t="shared" si="0"/>
        <v>9220</v>
      </c>
      <c r="H10" s="18">
        <f t="shared" si="0"/>
        <v>1860</v>
      </c>
      <c r="I10" s="18">
        <f t="shared" si="0"/>
        <v>7420</v>
      </c>
      <c r="J10" s="18">
        <f>SUM(B10:I10)</f>
        <v>44600</v>
      </c>
      <c r="K10" s="13"/>
    </row>
    <row r="11" spans="1:12" ht="12" customHeight="1">
      <c r="A11" s="16" t="s">
        <v>20</v>
      </c>
      <c r="B11" s="20">
        <f aca="true" t="shared" si="1" ref="B11:I11">($J$11/$J$4)*B4</f>
        <v>1979.1089296704527</v>
      </c>
      <c r="C11" s="20">
        <f t="shared" si="1"/>
        <v>1813.4704554355733</v>
      </c>
      <c r="D11" s="20">
        <f t="shared" si="1"/>
        <v>1265.523557880602</v>
      </c>
      <c r="E11" s="20">
        <f t="shared" si="1"/>
        <v>556.2145666648016</v>
      </c>
      <c r="F11" s="20">
        <f t="shared" si="1"/>
        <v>1302.870614893974</v>
      </c>
      <c r="G11" s="20">
        <f t="shared" si="1"/>
        <v>1489.6058999608347</v>
      </c>
      <c r="H11" s="20">
        <f t="shared" si="1"/>
        <v>695.6245733788396</v>
      </c>
      <c r="I11" s="20">
        <f t="shared" si="1"/>
        <v>1088.481402114922</v>
      </c>
      <c r="J11" s="21">
        <v>10190.9</v>
      </c>
      <c r="K11" s="22" t="s">
        <v>21</v>
      </c>
      <c r="L11" s="2"/>
    </row>
    <row r="12" spans="1:11" ht="12" customHeight="1">
      <c r="A12" s="23" t="s">
        <v>22</v>
      </c>
      <c r="B12" s="24">
        <f aca="true" t="shared" si="2" ref="B12:J12">B10+B11</f>
        <v>10919.108929670452</v>
      </c>
      <c r="C12" s="24">
        <f t="shared" si="2"/>
        <v>9013.470455435574</v>
      </c>
      <c r="D12" s="24">
        <f t="shared" si="2"/>
        <v>4865.523557880602</v>
      </c>
      <c r="E12" s="24">
        <f t="shared" si="2"/>
        <v>2726.2145666648016</v>
      </c>
      <c r="F12" s="24">
        <f t="shared" si="2"/>
        <v>5492.870614893975</v>
      </c>
      <c r="G12" s="24">
        <f t="shared" si="2"/>
        <v>10709.605899960834</v>
      </c>
      <c r="H12" s="24">
        <f t="shared" si="2"/>
        <v>2555.6245733788396</v>
      </c>
      <c r="I12" s="24">
        <f t="shared" si="2"/>
        <v>8508.481402114921</v>
      </c>
      <c r="J12" s="24">
        <f t="shared" si="2"/>
        <v>54790.9</v>
      </c>
      <c r="K12" s="25" t="s">
        <v>23</v>
      </c>
    </row>
    <row r="13" spans="1:11" ht="12" customHeight="1">
      <c r="A13" s="13" t="s">
        <v>24</v>
      </c>
      <c r="B13" s="26">
        <f aca="true" t="shared" si="3" ref="B13:J13">B12/B4</f>
        <v>1.5729053485552364</v>
      </c>
      <c r="C13" s="26">
        <f t="shared" si="3"/>
        <v>1.4169895386630362</v>
      </c>
      <c r="D13" s="26">
        <f t="shared" si="3"/>
        <v>1.0960855052670877</v>
      </c>
      <c r="E13" s="26">
        <f t="shared" si="3"/>
        <v>1.3973421664094319</v>
      </c>
      <c r="F13" s="26">
        <f t="shared" si="3"/>
        <v>1.201941053587303</v>
      </c>
      <c r="G13" s="26">
        <f t="shared" si="3"/>
        <v>2.0496853397054227</v>
      </c>
      <c r="H13" s="26">
        <f t="shared" si="3"/>
        <v>1.0473871202372294</v>
      </c>
      <c r="I13" s="26">
        <f t="shared" si="3"/>
        <v>2.2285179156927506</v>
      </c>
      <c r="J13" s="26">
        <f t="shared" si="3"/>
        <v>1.5327840877300958</v>
      </c>
      <c r="K13" s="25"/>
    </row>
    <row r="14" spans="1:11" ht="12" customHeight="1">
      <c r="A14" s="27" t="s">
        <v>25</v>
      </c>
      <c r="B14" s="28">
        <f aca="true" t="shared" si="4" ref="B14:J14">(B12/B4)/($J$12/$J$4)</f>
        <v>1.0261754157981613</v>
      </c>
      <c r="C14" s="28">
        <f t="shared" si="4"/>
        <v>0.924454755243095</v>
      </c>
      <c r="D14" s="28">
        <f t="shared" si="4"/>
        <v>0.7150945224713833</v>
      </c>
      <c r="E14" s="28">
        <f t="shared" si="4"/>
        <v>0.9116366601109226</v>
      </c>
      <c r="F14" s="28">
        <f t="shared" si="4"/>
        <v>0.7841554875267924</v>
      </c>
      <c r="G14" s="28">
        <f t="shared" si="4"/>
        <v>1.3372303092869442</v>
      </c>
      <c r="H14" s="28">
        <f t="shared" si="4"/>
        <v>0.6833233255887382</v>
      </c>
      <c r="I14" s="28">
        <f t="shared" si="4"/>
        <v>1.4539020423893942</v>
      </c>
      <c r="J14" s="28">
        <f t="shared" si="4"/>
        <v>1</v>
      </c>
      <c r="K14" s="13" t="s">
        <v>26</v>
      </c>
    </row>
    <row r="15" spans="1:11" ht="12" customHeight="1">
      <c r="A15" s="9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2" customHeight="1">
      <c r="A16" s="14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25" t="s">
        <v>29</v>
      </c>
    </row>
    <row r="17" spans="1:11" ht="12" customHeight="1">
      <c r="A17" s="13" t="s">
        <v>30</v>
      </c>
      <c r="B17" s="29">
        <v>2314.4</v>
      </c>
      <c r="C17" s="29">
        <v>2299</v>
      </c>
      <c r="D17" s="29">
        <v>1777.5</v>
      </c>
      <c r="E17" s="29">
        <v>1566.5</v>
      </c>
      <c r="F17" s="29">
        <v>5612.5</v>
      </c>
      <c r="G17" s="29"/>
      <c r="H17" s="29">
        <v>1246.4</v>
      </c>
      <c r="I17" s="29"/>
      <c r="J17" s="29">
        <f>SUM(B17:I17)</f>
        <v>14816.3</v>
      </c>
      <c r="K17" s="30">
        <f>J17/J21</f>
        <v>0.3565587578452889</v>
      </c>
    </row>
    <row r="18" spans="1:11" ht="12" customHeight="1">
      <c r="A18" s="13" t="s">
        <v>31</v>
      </c>
      <c r="B18" s="29">
        <v>3028</v>
      </c>
      <c r="C18" s="29">
        <v>2743</v>
      </c>
      <c r="D18" s="29">
        <v>1732.4</v>
      </c>
      <c r="E18" s="29">
        <v>342.2</v>
      </c>
      <c r="F18" s="29">
        <v>3680.6</v>
      </c>
      <c r="G18" s="29"/>
      <c r="H18" s="29">
        <v>306</v>
      </c>
      <c r="I18" s="29"/>
      <c r="J18" s="29">
        <f>SUM(B18:I18)</f>
        <v>11832.199999999999</v>
      </c>
      <c r="K18" s="30">
        <f>J18/J21</f>
        <v>0.2847454853490431</v>
      </c>
    </row>
    <row r="19" spans="1:11" ht="12" customHeight="1">
      <c r="A19" s="13" t="s">
        <v>88</v>
      </c>
      <c r="B19" s="29">
        <v>918.9</v>
      </c>
      <c r="C19" s="29"/>
      <c r="D19" s="29">
        <v>728.7</v>
      </c>
      <c r="E19" s="29">
        <v>317.8</v>
      </c>
      <c r="F19" s="29">
        <v>500</v>
      </c>
      <c r="G19" s="29"/>
      <c r="H19" s="29">
        <v>367.5</v>
      </c>
      <c r="I19" s="29"/>
      <c r="J19" s="29">
        <f>SUM(B19:I19)</f>
        <v>2832.8999999999996</v>
      </c>
      <c r="K19" s="30">
        <f>J19/J21</f>
        <v>0.0681745985907358</v>
      </c>
    </row>
    <row r="20" spans="1:11" ht="12" customHeight="1">
      <c r="A20" s="13" t="s">
        <v>63</v>
      </c>
      <c r="B20" s="31">
        <v>2076.3</v>
      </c>
      <c r="C20" s="31">
        <v>3889</v>
      </c>
      <c r="D20" s="31">
        <v>1532.4</v>
      </c>
      <c r="E20" s="31">
        <v>1428</v>
      </c>
      <c r="F20" s="31">
        <v>3146.5</v>
      </c>
      <c r="G20" s="31"/>
      <c r="H20" s="31"/>
      <c r="I20" s="31"/>
      <c r="J20" s="29">
        <f>SUM(B20:I20)</f>
        <v>12072.2</v>
      </c>
      <c r="K20" s="30">
        <f>J20/J21</f>
        <v>0.290521158214932</v>
      </c>
    </row>
    <row r="21" spans="1:11" ht="12" customHeight="1">
      <c r="A21" s="15" t="s">
        <v>32</v>
      </c>
      <c r="B21" s="24">
        <f aca="true" t="shared" si="5" ref="B21:K21">SUM(B17:B20)</f>
        <v>8337.599999999999</v>
      </c>
      <c r="C21" s="24">
        <f t="shared" si="5"/>
        <v>8931</v>
      </c>
      <c r="D21" s="24">
        <f t="shared" si="5"/>
        <v>5771</v>
      </c>
      <c r="E21" s="24">
        <f t="shared" si="5"/>
        <v>3654.5</v>
      </c>
      <c r="F21" s="24">
        <f t="shared" si="5"/>
        <v>12939.6</v>
      </c>
      <c r="G21" s="24">
        <f t="shared" si="5"/>
        <v>0</v>
      </c>
      <c r="H21" s="24">
        <f t="shared" si="5"/>
        <v>1919.9</v>
      </c>
      <c r="I21" s="24">
        <f t="shared" si="5"/>
        <v>0</v>
      </c>
      <c r="J21" s="24">
        <f t="shared" si="5"/>
        <v>41553.600000000006</v>
      </c>
      <c r="K21" s="32">
        <f t="shared" si="5"/>
        <v>0.9999999999999998</v>
      </c>
    </row>
    <row r="22" spans="1:11" ht="12" customHeight="1">
      <c r="A22" s="25" t="s">
        <v>33</v>
      </c>
      <c r="B22" s="33">
        <f aca="true" t="shared" si="6" ref="B22:I22">(0.6*B4+0.4*$J$23)/B4</f>
        <v>0.8574618265629501</v>
      </c>
      <c r="C22" s="33">
        <f t="shared" si="6"/>
        <v>0.8809778336739505</v>
      </c>
      <c r="D22" s="33">
        <f t="shared" si="6"/>
        <v>1.0026357287677405</v>
      </c>
      <c r="E22" s="33">
        <f t="shared" si="6"/>
        <v>1.5160943106099436</v>
      </c>
      <c r="F22" s="33">
        <f t="shared" si="6"/>
        <v>0.99109409190372</v>
      </c>
      <c r="G22" s="33">
        <f t="shared" si="6"/>
        <v>0.942066985645933</v>
      </c>
      <c r="H22" s="33">
        <f t="shared" si="6"/>
        <v>1.3325</v>
      </c>
      <c r="I22" s="33">
        <f t="shared" si="6"/>
        <v>1.0681246726034572</v>
      </c>
      <c r="J22" s="34">
        <v>1</v>
      </c>
      <c r="K22" s="35" t="s">
        <v>64</v>
      </c>
    </row>
    <row r="23" spans="1:11" ht="12" customHeight="1">
      <c r="A23" s="25" t="s">
        <v>35</v>
      </c>
      <c r="B23" s="36"/>
      <c r="C23" s="36"/>
      <c r="D23" s="36"/>
      <c r="E23" s="36"/>
      <c r="F23" s="36"/>
      <c r="G23" s="36"/>
      <c r="H23" s="36"/>
      <c r="I23" s="36"/>
      <c r="J23" s="37">
        <f>J4/8</f>
        <v>4468.25</v>
      </c>
      <c r="K23" s="38" t="s">
        <v>65</v>
      </c>
    </row>
    <row r="24" spans="1:11" ht="12" customHeight="1">
      <c r="A24" s="25" t="s">
        <v>36</v>
      </c>
      <c r="B24" s="39">
        <f aca="true" t="shared" si="7" ref="B24:J24">1+B25/B4</f>
        <v>1.0741861135119561</v>
      </c>
      <c r="C24" s="39">
        <f t="shared" si="7"/>
        <v>1.03945920452759</v>
      </c>
      <c r="D24" s="39">
        <f t="shared" si="7"/>
        <v>1.3858977247127733</v>
      </c>
      <c r="E24" s="39">
        <f t="shared" si="7"/>
        <v>1.5817529472065608</v>
      </c>
      <c r="F24" s="39">
        <f t="shared" si="7"/>
        <v>1.137636761487965</v>
      </c>
      <c r="G24" s="39">
        <f t="shared" si="7"/>
        <v>1.3586602870813398</v>
      </c>
      <c r="H24" s="39">
        <f t="shared" si="7"/>
        <v>1.07827868852459</v>
      </c>
      <c r="I24" s="39">
        <f t="shared" si="7"/>
        <v>1.1906757464641173</v>
      </c>
      <c r="J24" s="39">
        <f t="shared" si="7"/>
        <v>1.1968332121076484</v>
      </c>
      <c r="K24" s="40" t="s">
        <v>37</v>
      </c>
    </row>
    <row r="25" spans="1:11" ht="12" customHeight="1">
      <c r="A25" s="25" t="s">
        <v>38</v>
      </c>
      <c r="B25" s="41">
        <v>515</v>
      </c>
      <c r="C25" s="41">
        <v>251</v>
      </c>
      <c r="D25" s="41">
        <v>1713</v>
      </c>
      <c r="E25" s="41">
        <v>1135</v>
      </c>
      <c r="F25" s="41">
        <v>629</v>
      </c>
      <c r="G25" s="41">
        <v>1874</v>
      </c>
      <c r="H25" s="41">
        <v>191</v>
      </c>
      <c r="I25" s="41">
        <v>728</v>
      </c>
      <c r="J25" s="13">
        <f>SUM(B25:I25)</f>
        <v>7036</v>
      </c>
      <c r="K25" s="32"/>
    </row>
    <row r="26" spans="1:11" ht="12" customHeight="1">
      <c r="A26" s="25" t="s">
        <v>39</v>
      </c>
      <c r="B26" s="42">
        <v>2413.8</v>
      </c>
      <c r="C26" s="17">
        <v>1987.2</v>
      </c>
      <c r="D26" s="42">
        <v>2050</v>
      </c>
      <c r="E26" s="42">
        <v>1069</v>
      </c>
      <c r="F26" s="42">
        <v>637</v>
      </c>
      <c r="G26" s="42">
        <v>1833</v>
      </c>
      <c r="H26" s="17">
        <v>1080</v>
      </c>
      <c r="I26" s="42">
        <v>705</v>
      </c>
      <c r="J26" s="17">
        <f>B26+C26+D26+E26+F26+G26+H26+I26</f>
        <v>11775</v>
      </c>
      <c r="K26" s="32"/>
    </row>
    <row r="27" spans="1:11" ht="12" customHeight="1">
      <c r="A27" s="25" t="s">
        <v>40</v>
      </c>
      <c r="B27" s="43">
        <f aca="true" t="shared" si="8" ref="B27:J27">(B26/B4)/($J$26/$J$4)</f>
        <v>1.0555606912231834</v>
      </c>
      <c r="C27" s="43">
        <f t="shared" si="8"/>
        <v>0.9483807236974517</v>
      </c>
      <c r="D27" s="43">
        <f t="shared" si="8"/>
        <v>1.4019588008048713</v>
      </c>
      <c r="E27" s="43">
        <f t="shared" si="8"/>
        <v>1.6633627482667173</v>
      </c>
      <c r="F27" s="43">
        <f t="shared" si="8"/>
        <v>0.42314553977523495</v>
      </c>
      <c r="G27" s="43">
        <f t="shared" si="8"/>
        <v>1.0649830737817327</v>
      </c>
      <c r="H27" s="43">
        <f t="shared" si="8"/>
        <v>1.3436942675159236</v>
      </c>
      <c r="I27" s="43">
        <f t="shared" si="8"/>
        <v>0.5605569327990444</v>
      </c>
      <c r="J27" s="43">
        <f t="shared" si="8"/>
        <v>1</v>
      </c>
      <c r="K27" s="44" t="s">
        <v>41</v>
      </c>
    </row>
    <row r="28" spans="1:11" ht="12" customHeight="1">
      <c r="A28" s="45" t="s">
        <v>42</v>
      </c>
      <c r="B28" s="46">
        <f aca="true" t="shared" si="9" ref="B28:J28">B29*$K$17+B30*$K$18+B31*$K$19</f>
        <v>0.6671199597354041</v>
      </c>
      <c r="C28" s="46">
        <f t="shared" si="9"/>
        <v>0.6253224462741804</v>
      </c>
      <c r="D28" s="46">
        <f t="shared" si="9"/>
        <v>1.0574199532263548</v>
      </c>
      <c r="E28" s="46">
        <f t="shared" si="9"/>
        <v>1.6497434378201936</v>
      </c>
      <c r="F28" s="46">
        <f t="shared" si="9"/>
        <v>0.5972206824735848</v>
      </c>
      <c r="G28" s="46">
        <f t="shared" si="9"/>
        <v>0.8904594430488197</v>
      </c>
      <c r="H28" s="46">
        <f t="shared" si="9"/>
        <v>0.958459037393463</v>
      </c>
      <c r="I28" s="46">
        <f t="shared" si="9"/>
        <v>0.7015203226325434</v>
      </c>
      <c r="J28" s="46">
        <f t="shared" si="9"/>
        <v>0.8636583207053258</v>
      </c>
      <c r="K28" s="25" t="s">
        <v>43</v>
      </c>
    </row>
    <row r="29" spans="1:11" ht="12" customHeight="1">
      <c r="A29" s="13" t="s">
        <v>30</v>
      </c>
      <c r="B29" s="47">
        <f aca="true" t="shared" si="10" ref="B29:J29">B22*B24/$J$22*$J$24</f>
        <v>1.1023714596694705</v>
      </c>
      <c r="C29" s="47">
        <f t="shared" si="10"/>
        <v>1.0959886658510345</v>
      </c>
      <c r="D29" s="47">
        <f t="shared" si="10"/>
        <v>1.6630602783205328</v>
      </c>
      <c r="E29" s="47">
        <f t="shared" si="10"/>
        <v>2.8701097411112637</v>
      </c>
      <c r="F29" s="47">
        <f t="shared" si="10"/>
        <v>1.3494355182379658</v>
      </c>
      <c r="G29" s="47">
        <f t="shared" si="10"/>
        <v>1.531885474401342</v>
      </c>
      <c r="H29" s="47">
        <f t="shared" si="10"/>
        <v>1.7196175619901983</v>
      </c>
      <c r="I29" s="47">
        <f t="shared" si="10"/>
        <v>1.5221206806197525</v>
      </c>
      <c r="J29" s="47">
        <f t="shared" si="10"/>
        <v>1.4324097376039113</v>
      </c>
      <c r="K29" s="12" t="s">
        <v>44</v>
      </c>
    </row>
    <row r="30" spans="1:11" ht="12" customHeight="1">
      <c r="A30" s="13" t="s">
        <v>31</v>
      </c>
      <c r="B30" s="47">
        <f aca="true" t="shared" si="11" ref="B30:J30">B24*B27/$J$24*$J$27</f>
        <v>0.9473906848593038</v>
      </c>
      <c r="C30" s="47">
        <f t="shared" si="11"/>
        <v>0.823676233806909</v>
      </c>
      <c r="D30" s="47">
        <f t="shared" si="11"/>
        <v>1.623427134642183</v>
      </c>
      <c r="E30" s="47">
        <f t="shared" si="11"/>
        <v>2.198325466512738</v>
      </c>
      <c r="F30" s="47">
        <f t="shared" si="11"/>
        <v>0.4022163795573858</v>
      </c>
      <c r="G30" s="47">
        <f t="shared" si="11"/>
        <v>1.2089823328122278</v>
      </c>
      <c r="H30" s="47">
        <f t="shared" si="11"/>
        <v>1.210592150934362</v>
      </c>
      <c r="I30" s="47">
        <f t="shared" si="11"/>
        <v>0.5576729803652087</v>
      </c>
      <c r="J30" s="47">
        <f t="shared" si="11"/>
        <v>1</v>
      </c>
      <c r="K30" s="12" t="s">
        <v>45</v>
      </c>
    </row>
    <row r="31" spans="1:11" ht="12" customHeight="1">
      <c r="A31" s="13" t="s">
        <v>66</v>
      </c>
      <c r="B31" s="47">
        <f aca="true" t="shared" si="12" ref="B31:J31">(B19*B4)/($J$19*$J$4)</f>
        <v>0.06299327175970333</v>
      </c>
      <c r="C31" s="47">
        <f t="shared" si="12"/>
        <v>0</v>
      </c>
      <c r="D31" s="47">
        <f t="shared" si="12"/>
        <v>0.03194296452148565</v>
      </c>
      <c r="E31" s="47">
        <f t="shared" si="12"/>
        <v>0.00612283374152732</v>
      </c>
      <c r="F31" s="47">
        <f t="shared" si="12"/>
        <v>0.0225645932317711</v>
      </c>
      <c r="G31" s="47">
        <f t="shared" si="12"/>
        <v>0</v>
      </c>
      <c r="H31" s="47">
        <f t="shared" si="12"/>
        <v>0.008854998140450392</v>
      </c>
      <c r="I31" s="47">
        <f t="shared" si="12"/>
        <v>0</v>
      </c>
      <c r="J31" s="47">
        <f t="shared" si="12"/>
        <v>1</v>
      </c>
      <c r="K31" s="12" t="s">
        <v>67</v>
      </c>
    </row>
    <row r="32" spans="1:11" ht="12" customHeight="1">
      <c r="A32" s="13"/>
      <c r="B32" s="47"/>
      <c r="C32" s="47"/>
      <c r="D32" s="47"/>
      <c r="E32" s="47"/>
      <c r="F32" s="47"/>
      <c r="G32" s="47"/>
      <c r="H32" s="47"/>
      <c r="I32" s="47"/>
      <c r="J32" s="47"/>
      <c r="K32" s="12"/>
    </row>
    <row r="33" spans="1:12" ht="12" customHeight="1">
      <c r="A33" s="48" t="s">
        <v>68</v>
      </c>
      <c r="B33" s="47">
        <f aca="true" t="shared" si="13" ref="B33:I33">B14/B28</f>
        <v>1.5382172288851428</v>
      </c>
      <c r="C33" s="47">
        <f t="shared" si="13"/>
        <v>1.4783648991831588</v>
      </c>
      <c r="D33" s="47">
        <f t="shared" si="13"/>
        <v>0.6762635037191395</v>
      </c>
      <c r="E33" s="47">
        <f t="shared" si="13"/>
        <v>0.5525929906503937</v>
      </c>
      <c r="F33" s="47">
        <f t="shared" si="13"/>
        <v>1.313007922429873</v>
      </c>
      <c r="G33" s="47">
        <f t="shared" si="13"/>
        <v>1.5017307298223914</v>
      </c>
      <c r="H33" s="47">
        <f t="shared" si="13"/>
        <v>0.7129395195094006</v>
      </c>
      <c r="I33" s="47">
        <f t="shared" si="13"/>
        <v>2.0725016731282193</v>
      </c>
      <c r="J33" s="49">
        <f>(D33+E33+B33+I33)/4</f>
        <v>1.2098938490957238</v>
      </c>
      <c r="K33" s="12" t="s">
        <v>69</v>
      </c>
      <c r="L33" s="3"/>
    </row>
    <row r="34" spans="1:12" ht="12" customHeight="1">
      <c r="A34" s="48" t="s">
        <v>68</v>
      </c>
      <c r="B34" s="47"/>
      <c r="C34" s="47"/>
      <c r="D34" s="47"/>
      <c r="E34" s="47"/>
      <c r="F34" s="47"/>
      <c r="G34" s="47"/>
      <c r="H34" s="47"/>
      <c r="I34" s="47"/>
      <c r="J34" s="50">
        <f>(B34+H34)/2</f>
        <v>0</v>
      </c>
      <c r="K34" s="12" t="s">
        <v>70</v>
      </c>
      <c r="L34" s="3"/>
    </row>
    <row r="35" spans="1:11" ht="12" customHeight="1">
      <c r="A35" s="51" t="s">
        <v>48</v>
      </c>
      <c r="B35" s="52">
        <v>0</v>
      </c>
      <c r="C35" s="52">
        <f aca="true" t="shared" si="14" ref="C35:I35">C36</f>
        <v>0</v>
      </c>
      <c r="D35" s="52">
        <f t="shared" si="14"/>
        <v>691.895642639406</v>
      </c>
      <c r="E35" s="52">
        <f t="shared" si="14"/>
        <v>584.3934096100431</v>
      </c>
      <c r="F35" s="52">
        <f t="shared" si="14"/>
        <v>-77.73854608664045</v>
      </c>
      <c r="G35" s="52">
        <f t="shared" si="14"/>
        <v>0</v>
      </c>
      <c r="H35" s="52">
        <f t="shared" si="14"/>
        <v>321.03123751802764</v>
      </c>
      <c r="I35" s="52">
        <f t="shared" si="14"/>
        <v>0</v>
      </c>
      <c r="J35" s="52">
        <v>1350</v>
      </c>
      <c r="K35" s="53"/>
    </row>
    <row r="36" spans="1:11" ht="12" customHeight="1">
      <c r="A36" s="51" t="s">
        <v>71</v>
      </c>
      <c r="B36" s="54">
        <f aca="true" t="shared" si="15" ref="B36:I36">B37+B38</f>
        <v>0</v>
      </c>
      <c r="C36" s="54">
        <f t="shared" si="15"/>
        <v>0</v>
      </c>
      <c r="D36" s="54">
        <f t="shared" si="15"/>
        <v>691.895642639406</v>
      </c>
      <c r="E36" s="54">
        <f t="shared" si="15"/>
        <v>584.3934096100431</v>
      </c>
      <c r="F36" s="54">
        <f t="shared" si="15"/>
        <v>-77.73854608664045</v>
      </c>
      <c r="G36" s="54">
        <f t="shared" si="15"/>
        <v>0</v>
      </c>
      <c r="H36" s="54">
        <f t="shared" si="15"/>
        <v>321.03123751802764</v>
      </c>
      <c r="I36" s="54">
        <f t="shared" si="15"/>
        <v>0</v>
      </c>
      <c r="J36" s="54">
        <f>SUM(B36:I36)</f>
        <v>1519.581743680836</v>
      </c>
      <c r="K36" s="53" t="s">
        <v>72</v>
      </c>
    </row>
    <row r="37" spans="1:12" ht="12" customHeight="1">
      <c r="A37" s="12" t="s">
        <v>73</v>
      </c>
      <c r="B37" s="55"/>
      <c r="C37" s="55"/>
      <c r="D37" s="55"/>
      <c r="E37" s="55"/>
      <c r="F37" s="55"/>
      <c r="G37" s="55"/>
      <c r="H37" s="55"/>
      <c r="I37" s="55"/>
      <c r="J37" s="55">
        <f>SUM(B37:I37)</f>
        <v>0</v>
      </c>
      <c r="K37" s="53" t="s">
        <v>74</v>
      </c>
      <c r="L37" s="2"/>
    </row>
    <row r="38" spans="1:11" ht="12" customHeight="1">
      <c r="A38" s="12" t="s">
        <v>75</v>
      </c>
      <c r="B38" s="56"/>
      <c r="C38" s="56"/>
      <c r="D38" s="56">
        <f>D40*D39</f>
        <v>691.895642639406</v>
      </c>
      <c r="E38" s="56">
        <f>E40*E39</f>
        <v>584.3934096100431</v>
      </c>
      <c r="F38" s="56">
        <f>F40*F39</f>
        <v>-77.73854608664045</v>
      </c>
      <c r="G38" s="56"/>
      <c r="H38" s="56">
        <f>H40*H39</f>
        <v>321.03123751802764</v>
      </c>
      <c r="I38" s="56"/>
      <c r="J38" s="56">
        <f>SUM(B38:I38)</f>
        <v>1519.581743680836</v>
      </c>
      <c r="K38" s="57" t="s">
        <v>76</v>
      </c>
    </row>
    <row r="39" spans="1:11" ht="12" customHeight="1">
      <c r="A39" s="25" t="s">
        <v>77</v>
      </c>
      <c r="B39" s="47">
        <v>0.2</v>
      </c>
      <c r="C39" s="47">
        <v>0.2</v>
      </c>
      <c r="D39" s="47">
        <v>0.2</v>
      </c>
      <c r="E39" s="47">
        <v>0.2</v>
      </c>
      <c r="F39" s="47">
        <v>0.2</v>
      </c>
      <c r="G39" s="47">
        <v>0.2</v>
      </c>
      <c r="H39" s="47">
        <v>0.2</v>
      </c>
      <c r="I39" s="47">
        <v>0.2</v>
      </c>
      <c r="J39" s="58"/>
      <c r="K39" s="13" t="s">
        <v>78</v>
      </c>
    </row>
    <row r="40" spans="1:11" ht="12" customHeight="1">
      <c r="A40" s="25" t="s">
        <v>79</v>
      </c>
      <c r="B40" s="56">
        <f aca="true" t="shared" si="16" ref="B40:I40">($J$43/$J$4)*($J$33-B33)*B28*B4</f>
        <v>-2100.0410751178147</v>
      </c>
      <c r="C40" s="56">
        <f t="shared" si="16"/>
        <v>-1474.9058927626525</v>
      </c>
      <c r="D40" s="56">
        <f t="shared" si="16"/>
        <v>3459.4782131970296</v>
      </c>
      <c r="E40" s="56">
        <f t="shared" si="16"/>
        <v>2921.9670480502155</v>
      </c>
      <c r="F40" s="56">
        <f t="shared" si="16"/>
        <v>-388.69273043320226</v>
      </c>
      <c r="G40" s="56">
        <f t="shared" si="16"/>
        <v>-1875.3315015553421</v>
      </c>
      <c r="H40" s="56">
        <f t="shared" si="16"/>
        <v>1605.1561875901382</v>
      </c>
      <c r="I40" s="56">
        <f t="shared" si="16"/>
        <v>-3191.001507491552</v>
      </c>
      <c r="J40" s="59">
        <f>SUM(B40:I40)</f>
        <v>-1043.3712585231797</v>
      </c>
      <c r="K40" s="60" t="s">
        <v>80</v>
      </c>
    </row>
    <row r="41" spans="1:11" ht="12" customHeight="1">
      <c r="A41" s="25" t="s">
        <v>81</v>
      </c>
      <c r="B41" s="55">
        <f aca="true" t="shared" si="17" ref="B41:J41">B33+B38/(B28*B4*($J$12+$J$38)/$J$4)</f>
        <v>1.5382172288851428</v>
      </c>
      <c r="C41" s="55">
        <f t="shared" si="17"/>
        <v>1.4783648991831588</v>
      </c>
      <c r="D41" s="55">
        <f t="shared" si="17"/>
        <v>0.769835556599925</v>
      </c>
      <c r="E41" s="55">
        <f t="shared" si="17"/>
        <v>0.6678506614667485</v>
      </c>
      <c r="F41" s="55">
        <f t="shared" si="17"/>
        <v>1.2949268751161802</v>
      </c>
      <c r="G41" s="55">
        <f t="shared" si="17"/>
        <v>1.5017307298223914</v>
      </c>
      <c r="H41" s="55">
        <f t="shared" si="17"/>
        <v>0.8000804349582228</v>
      </c>
      <c r="I41" s="55">
        <f t="shared" si="17"/>
        <v>2.0725016731282193</v>
      </c>
      <c r="J41" s="55">
        <f t="shared" si="17"/>
        <v>1.2411397364683994</v>
      </c>
      <c r="K41" s="61" t="s">
        <v>82</v>
      </c>
    </row>
    <row r="42" spans="1:11" ht="12" customHeight="1">
      <c r="A42" s="25" t="s">
        <v>83</v>
      </c>
      <c r="B42" s="55">
        <f aca="true" t="shared" si="18" ref="B42:I42">($J$43/$J$4)*(1-B41)*B28*B4</f>
        <v>-3442.57630607917</v>
      </c>
      <c r="C42" s="55">
        <f t="shared" si="18"/>
        <v>-2628.0048015094126</v>
      </c>
      <c r="D42" s="55">
        <f t="shared" si="18"/>
        <v>1492.1356783660146</v>
      </c>
      <c r="E42" s="55">
        <f t="shared" si="18"/>
        <v>1476.5375851194915</v>
      </c>
      <c r="F42" s="55">
        <f t="shared" si="18"/>
        <v>-1111.73895725711</v>
      </c>
      <c r="G42" s="55">
        <f t="shared" si="18"/>
        <v>-3224.100533803108</v>
      </c>
      <c r="H42" s="55">
        <f t="shared" si="18"/>
        <v>645.7376618778318</v>
      </c>
      <c r="I42" s="55">
        <f t="shared" si="18"/>
        <v>-3967.4512106099737</v>
      </c>
      <c r="J42" s="55">
        <f>SUM(B42:I42)</f>
        <v>-10759.460883895437</v>
      </c>
      <c r="K42" s="12" t="s">
        <v>84</v>
      </c>
    </row>
    <row r="43" spans="1:11" ht="12" customHeight="1">
      <c r="A43" s="12" t="s">
        <v>53</v>
      </c>
      <c r="B43" s="62">
        <v>10593.6</v>
      </c>
      <c r="C43" s="62">
        <v>9457.3</v>
      </c>
      <c r="D43" s="62">
        <v>3603.9</v>
      </c>
      <c r="E43" s="62">
        <v>2172.9</v>
      </c>
      <c r="F43" s="62">
        <v>4402.1</v>
      </c>
      <c r="G43" s="62">
        <v>9569</v>
      </c>
      <c r="H43" s="62">
        <v>2008.4</v>
      </c>
      <c r="I43" s="62">
        <v>7563</v>
      </c>
      <c r="J43" s="62">
        <f>SUM(B43:I43)</f>
        <v>49370.200000000004</v>
      </c>
      <c r="K43" s="12"/>
    </row>
    <row r="44" spans="1:11" ht="12" customHeight="1">
      <c r="A44" s="12" t="s">
        <v>54</v>
      </c>
      <c r="B44" s="55">
        <f aca="true" t="shared" si="19" ref="B44:J44">B43/B4*1000</f>
        <v>1526.0155574762318</v>
      </c>
      <c r="C44" s="55">
        <f t="shared" si="19"/>
        <v>1486.763087564848</v>
      </c>
      <c r="D44" s="55">
        <f t="shared" si="19"/>
        <v>811.8720432529849</v>
      </c>
      <c r="E44" s="55">
        <f t="shared" si="19"/>
        <v>1113.7365453613531</v>
      </c>
      <c r="F44" s="55">
        <f t="shared" si="19"/>
        <v>963.2603938730854</v>
      </c>
      <c r="G44" s="55">
        <f t="shared" si="19"/>
        <v>1831.3875598086124</v>
      </c>
      <c r="H44" s="55">
        <f t="shared" si="19"/>
        <v>823.1147540983607</v>
      </c>
      <c r="I44" s="55">
        <f t="shared" si="19"/>
        <v>1980.8800419067575</v>
      </c>
      <c r="J44" s="55">
        <f t="shared" si="19"/>
        <v>1381.1391484361889</v>
      </c>
      <c r="K44" s="63" t="s">
        <v>55</v>
      </c>
    </row>
    <row r="45" spans="1:11" ht="12" customHeight="1">
      <c r="A45" s="23" t="s">
        <v>56</v>
      </c>
      <c r="B45" s="64">
        <f aca="true" t="shared" si="20" ref="B45:J45">B11+B36</f>
        <v>1979.1089296704527</v>
      </c>
      <c r="C45" s="64">
        <f t="shared" si="20"/>
        <v>1813.4704554355733</v>
      </c>
      <c r="D45" s="64">
        <f t="shared" si="20"/>
        <v>1957.419200520008</v>
      </c>
      <c r="E45" s="64">
        <f t="shared" si="20"/>
        <v>1140.6079762748448</v>
      </c>
      <c r="F45" s="64">
        <f t="shared" si="20"/>
        <v>1225.1320688073336</v>
      </c>
      <c r="G45" s="64">
        <f t="shared" si="20"/>
        <v>1489.6058999608347</v>
      </c>
      <c r="H45" s="64">
        <f t="shared" si="20"/>
        <v>1016.6558108968673</v>
      </c>
      <c r="I45" s="64">
        <f t="shared" si="20"/>
        <v>1088.481402114922</v>
      </c>
      <c r="J45" s="64">
        <f t="shared" si="20"/>
        <v>11710.481743680835</v>
      </c>
      <c r="K45" s="12"/>
    </row>
    <row r="46" spans="1:2" ht="12" customHeight="1">
      <c r="A46" s="1" t="s">
        <v>58</v>
      </c>
      <c r="B46" s="3"/>
    </row>
    <row r="47" spans="1:2" ht="12" customHeight="1">
      <c r="A47" s="4" t="s">
        <v>59</v>
      </c>
      <c r="B47" s="3"/>
    </row>
  </sheetData>
  <sheetProtection/>
  <mergeCells count="2">
    <mergeCell ref="A1:K1"/>
    <mergeCell ref="A2:K2"/>
  </mergeCells>
  <printOptions/>
  <pageMargins left="0.708333333333333" right="0.708333333333333" top="0" bottom="0" header="0.511805555555555" footer="0.511805555555555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90" zoomScaleNormal="90" zoomScalePageLayoutView="0" workbookViewId="0" topLeftCell="A1">
      <selection activeCell="E18" sqref="E18"/>
    </sheetView>
  </sheetViews>
  <sheetFormatPr defaultColWidth="9.28125" defaultRowHeight="11.25" customHeight="1"/>
  <cols>
    <col min="1" max="1" width="48.28125" style="1" customWidth="1"/>
    <col min="2" max="2" width="12.7109375" style="1" customWidth="1"/>
    <col min="3" max="3" width="11.140625" style="1" customWidth="1"/>
    <col min="4" max="4" width="11.28125" style="1" customWidth="1"/>
    <col min="5" max="5" width="11.00390625" style="1" customWidth="1"/>
    <col min="6" max="6" width="11.28125" style="1" customWidth="1"/>
    <col min="7" max="7" width="11.8515625" style="1" customWidth="1"/>
    <col min="8" max="8" width="12.140625" style="1" customWidth="1"/>
    <col min="9" max="9" width="11.28125" style="1" customWidth="1"/>
    <col min="10" max="10" width="12.8515625" style="1" customWidth="1"/>
    <col min="11" max="11" width="39.140625" style="1" customWidth="1"/>
    <col min="12" max="16384" width="9.28125" style="1" customWidth="1"/>
  </cols>
  <sheetData>
    <row r="1" spans="1:11" ht="11.2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1.25" customHeight="1">
      <c r="A2" s="225" t="s">
        <v>89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1.25" customHeight="1">
      <c r="A3" s="67"/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9" t="s">
        <v>10</v>
      </c>
      <c r="K3" s="68" t="s">
        <v>11</v>
      </c>
    </row>
    <row r="4" spans="1:11" ht="11.25" customHeight="1">
      <c r="A4" s="67" t="s">
        <v>61</v>
      </c>
      <c r="B4" s="70">
        <v>6942</v>
      </c>
      <c r="C4" s="70">
        <v>6361</v>
      </c>
      <c r="D4" s="70">
        <v>4439</v>
      </c>
      <c r="E4" s="70">
        <v>1951</v>
      </c>
      <c r="F4" s="70">
        <v>4570</v>
      </c>
      <c r="G4" s="70">
        <v>5225</v>
      </c>
      <c r="H4" s="70">
        <v>2440</v>
      </c>
      <c r="I4" s="70">
        <v>3818</v>
      </c>
      <c r="J4" s="71">
        <f>B4+C4+D4+E4+F4+G4+H4+I4</f>
        <v>35746</v>
      </c>
      <c r="K4" s="72"/>
    </row>
    <row r="5" spans="1:11" ht="11.25" customHeight="1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9"/>
      <c r="K5" s="73"/>
    </row>
    <row r="6" spans="1:11" ht="11.25" customHeight="1">
      <c r="A6" s="74" t="s">
        <v>14</v>
      </c>
      <c r="B6" s="73"/>
      <c r="C6" s="73"/>
      <c r="D6" s="73"/>
      <c r="E6" s="73"/>
      <c r="F6" s="73"/>
      <c r="G6" s="73"/>
      <c r="H6" s="73"/>
      <c r="I6" s="73"/>
      <c r="J6" s="75"/>
      <c r="K6" s="73" t="s">
        <v>15</v>
      </c>
    </row>
    <row r="7" spans="1:11" ht="11.25" customHeight="1">
      <c r="A7" s="76" t="s">
        <v>16</v>
      </c>
      <c r="B7" s="77">
        <v>5500</v>
      </c>
      <c r="C7" s="77">
        <v>4200</v>
      </c>
      <c r="D7" s="77">
        <v>470</v>
      </c>
      <c r="E7" s="77">
        <v>490</v>
      </c>
      <c r="F7" s="77">
        <v>940</v>
      </c>
      <c r="G7" s="77">
        <v>2800</v>
      </c>
      <c r="H7" s="77">
        <v>380</v>
      </c>
      <c r="I7" s="77">
        <v>2620</v>
      </c>
      <c r="J7" s="78">
        <f>SUM(B7:I7)</f>
        <v>17400</v>
      </c>
      <c r="K7" s="73"/>
    </row>
    <row r="8" spans="1:11" ht="11.25" customHeight="1">
      <c r="A8" s="76" t="s">
        <v>17</v>
      </c>
      <c r="B8" s="77">
        <v>590</v>
      </c>
      <c r="C8" s="77">
        <v>600</v>
      </c>
      <c r="D8" s="77">
        <v>380</v>
      </c>
      <c r="E8" s="77">
        <v>150</v>
      </c>
      <c r="F8" s="77">
        <v>450</v>
      </c>
      <c r="G8" s="77">
        <v>450</v>
      </c>
      <c r="H8" s="77">
        <v>180</v>
      </c>
      <c r="I8" s="77">
        <v>400</v>
      </c>
      <c r="J8" s="78">
        <f>SUM(B8:I8)</f>
        <v>3200</v>
      </c>
      <c r="K8" s="73"/>
    </row>
    <row r="9" spans="1:11" ht="11.25" customHeight="1">
      <c r="A9" s="76" t="s">
        <v>18</v>
      </c>
      <c r="B9" s="77">
        <v>2850</v>
      </c>
      <c r="C9" s="77">
        <v>2400</v>
      </c>
      <c r="D9" s="77">
        <v>2750</v>
      </c>
      <c r="E9" s="77">
        <v>1530</v>
      </c>
      <c r="F9" s="77">
        <v>2800</v>
      </c>
      <c r="G9" s="77">
        <v>5970</v>
      </c>
      <c r="H9" s="77">
        <v>1300</v>
      </c>
      <c r="I9" s="77">
        <v>4400</v>
      </c>
      <c r="J9" s="78">
        <f>SUM(B9:I9)</f>
        <v>24000</v>
      </c>
      <c r="K9" s="73"/>
    </row>
    <row r="10" spans="1:11" ht="11.25" customHeight="1">
      <c r="A10" s="79" t="s">
        <v>19</v>
      </c>
      <c r="B10" s="78">
        <f aca="true" t="shared" si="0" ref="B10:I10">SUM(B7:B9)</f>
        <v>8940</v>
      </c>
      <c r="C10" s="78">
        <f t="shared" si="0"/>
        <v>7200</v>
      </c>
      <c r="D10" s="78">
        <f t="shared" si="0"/>
        <v>3600</v>
      </c>
      <c r="E10" s="78">
        <f t="shared" si="0"/>
        <v>2170</v>
      </c>
      <c r="F10" s="78">
        <f t="shared" si="0"/>
        <v>4190</v>
      </c>
      <c r="G10" s="78">
        <f t="shared" si="0"/>
        <v>9220</v>
      </c>
      <c r="H10" s="78">
        <f t="shared" si="0"/>
        <v>1860</v>
      </c>
      <c r="I10" s="78">
        <f t="shared" si="0"/>
        <v>7420</v>
      </c>
      <c r="J10" s="78">
        <f>SUM(B10:I10)</f>
        <v>44600</v>
      </c>
      <c r="K10" s="73"/>
    </row>
    <row r="11" spans="1:12" ht="11.25" customHeight="1">
      <c r="A11" s="76" t="s">
        <v>20</v>
      </c>
      <c r="B11" s="80">
        <f aca="true" t="shared" si="1" ref="B11:I11">($J$11/$J$4)*B4</f>
        <v>1978.7011022212273</v>
      </c>
      <c r="C11" s="80">
        <f t="shared" si="1"/>
        <v>1813.0967604766965</v>
      </c>
      <c r="D11" s="80">
        <f t="shared" si="1"/>
        <v>1265.2627762546856</v>
      </c>
      <c r="E11" s="80">
        <f t="shared" si="1"/>
        <v>556.0999496447155</v>
      </c>
      <c r="F11" s="80">
        <f t="shared" si="1"/>
        <v>1302.6021373020756</v>
      </c>
      <c r="G11" s="80">
        <f t="shared" si="1"/>
        <v>1489.2989425390251</v>
      </c>
      <c r="H11" s="80">
        <f t="shared" si="1"/>
        <v>695.4812286689419</v>
      </c>
      <c r="I11" s="80">
        <f t="shared" si="1"/>
        <v>1088.2571028926313</v>
      </c>
      <c r="J11" s="81">
        <v>10188.8</v>
      </c>
      <c r="K11" s="82" t="s">
        <v>21</v>
      </c>
      <c r="L11" s="2"/>
    </row>
    <row r="12" spans="1:11" ht="11.25" customHeight="1">
      <c r="A12" s="84" t="s">
        <v>22</v>
      </c>
      <c r="B12" s="78">
        <f aca="true" t="shared" si="2" ref="B12:J12">B10+B11</f>
        <v>10918.701102221228</v>
      </c>
      <c r="C12" s="78">
        <f t="shared" si="2"/>
        <v>9013.096760476696</v>
      </c>
      <c r="D12" s="78">
        <f t="shared" si="2"/>
        <v>4865.262776254685</v>
      </c>
      <c r="E12" s="78">
        <f t="shared" si="2"/>
        <v>2726.0999496447157</v>
      </c>
      <c r="F12" s="78">
        <f t="shared" si="2"/>
        <v>5492.602137302076</v>
      </c>
      <c r="G12" s="78">
        <f t="shared" si="2"/>
        <v>10709.298942539026</v>
      </c>
      <c r="H12" s="78">
        <f t="shared" si="2"/>
        <v>2555.481228668942</v>
      </c>
      <c r="I12" s="78">
        <f t="shared" si="2"/>
        <v>8508.257102892632</v>
      </c>
      <c r="J12" s="78">
        <f t="shared" si="2"/>
        <v>54788.8</v>
      </c>
      <c r="K12" s="85" t="s">
        <v>23</v>
      </c>
    </row>
    <row r="13" spans="1:11" ht="11.25" customHeight="1">
      <c r="A13" s="73" t="s">
        <v>24</v>
      </c>
      <c r="B13" s="86">
        <f aca="true" t="shared" si="3" ref="B13:J13">B12/B4</f>
        <v>1.5728466007233115</v>
      </c>
      <c r="C13" s="86">
        <f t="shared" si="3"/>
        <v>1.4169307908311108</v>
      </c>
      <c r="D13" s="86">
        <f t="shared" si="3"/>
        <v>1.0960267574351623</v>
      </c>
      <c r="E13" s="86">
        <f t="shared" si="3"/>
        <v>1.3972834185775067</v>
      </c>
      <c r="F13" s="86">
        <f t="shared" si="3"/>
        <v>1.2018823057553776</v>
      </c>
      <c r="G13" s="86">
        <f t="shared" si="3"/>
        <v>2.0496265918734977</v>
      </c>
      <c r="H13" s="86">
        <f t="shared" si="3"/>
        <v>1.0473283724053042</v>
      </c>
      <c r="I13" s="86">
        <f t="shared" si="3"/>
        <v>2.2284591678608257</v>
      </c>
      <c r="J13" s="86">
        <f t="shared" si="3"/>
        <v>1.5327253398981706</v>
      </c>
      <c r="K13" s="85"/>
    </row>
    <row r="14" spans="1:11" ht="11.25" customHeight="1">
      <c r="A14" s="87" t="s">
        <v>25</v>
      </c>
      <c r="B14" s="86">
        <f aca="true" t="shared" si="4" ref="B14:J14">(B12/B4)/($J$12/$J$4)</f>
        <v>1.026176419075714</v>
      </c>
      <c r="C14" s="86">
        <f t="shared" si="4"/>
        <v>0.9244518596692916</v>
      </c>
      <c r="D14" s="86">
        <f t="shared" si="4"/>
        <v>0.715083602328894</v>
      </c>
      <c r="E14" s="86">
        <f t="shared" si="4"/>
        <v>0.9116332732323312</v>
      </c>
      <c r="F14" s="86">
        <f t="shared" si="4"/>
        <v>0.7841472144221396</v>
      </c>
      <c r="G14" s="86">
        <f t="shared" si="4"/>
        <v>1.337243234987991</v>
      </c>
      <c r="H14" s="86">
        <f t="shared" si="4"/>
        <v>0.6833111876879946</v>
      </c>
      <c r="I14" s="86">
        <f t="shared" si="4"/>
        <v>1.4539194400014797</v>
      </c>
      <c r="J14" s="86">
        <f t="shared" si="4"/>
        <v>1</v>
      </c>
      <c r="K14" s="73" t="s">
        <v>26</v>
      </c>
    </row>
    <row r="15" spans="1:11" ht="11.25" customHeight="1">
      <c r="A15" s="69" t="s">
        <v>27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11.25" customHeight="1">
      <c r="A16" s="74" t="s">
        <v>28</v>
      </c>
      <c r="B16" s="73"/>
      <c r="C16" s="73"/>
      <c r="D16" s="73"/>
      <c r="E16" s="73"/>
      <c r="F16" s="73"/>
      <c r="G16" s="73"/>
      <c r="H16" s="73"/>
      <c r="I16" s="73"/>
      <c r="J16" s="73"/>
      <c r="K16" s="85" t="s">
        <v>29</v>
      </c>
    </row>
    <row r="17" spans="1:11" ht="11.25" customHeight="1">
      <c r="A17" s="73" t="s">
        <v>30</v>
      </c>
      <c r="B17" s="77">
        <v>2589.5</v>
      </c>
      <c r="C17" s="77">
        <v>2299</v>
      </c>
      <c r="D17" s="77">
        <v>1777.5</v>
      </c>
      <c r="E17" s="77">
        <v>1566.5</v>
      </c>
      <c r="F17" s="77">
        <v>5612.5</v>
      </c>
      <c r="G17" s="77">
        <v>4964.8</v>
      </c>
      <c r="H17" s="77">
        <v>1246.4</v>
      </c>
      <c r="I17" s="77">
        <v>3727.1</v>
      </c>
      <c r="J17" s="77">
        <f>SUM(B17:I17)</f>
        <v>23783.3</v>
      </c>
      <c r="K17" s="88">
        <f>J17/J21</f>
        <v>0.3858457415224678</v>
      </c>
    </row>
    <row r="18" spans="1:11" ht="11.25" customHeight="1">
      <c r="A18" s="73" t="s">
        <v>31</v>
      </c>
      <c r="B18" s="77">
        <v>1878.7</v>
      </c>
      <c r="C18" s="77">
        <v>2743</v>
      </c>
      <c r="D18" s="77">
        <v>1732.4</v>
      </c>
      <c r="E18" s="77">
        <v>342.2</v>
      </c>
      <c r="F18" s="77">
        <v>3680.6</v>
      </c>
      <c r="G18" s="77">
        <v>4262.9</v>
      </c>
      <c r="H18" s="77">
        <v>306</v>
      </c>
      <c r="I18" s="77">
        <v>3097</v>
      </c>
      <c r="J18" s="77">
        <f>SUM(B18:I18)</f>
        <v>18042.8</v>
      </c>
      <c r="K18" s="88">
        <f>J18/J21</f>
        <v>0.2927153736084388</v>
      </c>
    </row>
    <row r="19" spans="1:11" ht="11.25" customHeight="1">
      <c r="A19" s="73" t="s">
        <v>88</v>
      </c>
      <c r="B19" s="77">
        <v>2090.7</v>
      </c>
      <c r="C19" s="77"/>
      <c r="D19" s="77">
        <v>728.7</v>
      </c>
      <c r="E19" s="77">
        <v>317.8</v>
      </c>
      <c r="F19" s="77">
        <v>500</v>
      </c>
      <c r="G19" s="77"/>
      <c r="H19" s="77">
        <v>367.5</v>
      </c>
      <c r="I19" s="77"/>
      <c r="J19" s="77">
        <f>SUM(B19:I19)</f>
        <v>4004.7</v>
      </c>
      <c r="K19" s="88">
        <f>J19/J21</f>
        <v>0.06496980827198189</v>
      </c>
    </row>
    <row r="20" spans="1:11" ht="11.25" customHeight="1">
      <c r="A20" s="73" t="s">
        <v>63</v>
      </c>
      <c r="B20" s="73">
        <v>2141.4</v>
      </c>
      <c r="C20" s="73">
        <v>3889</v>
      </c>
      <c r="D20" s="73">
        <v>1532.4</v>
      </c>
      <c r="E20" s="73">
        <v>1428</v>
      </c>
      <c r="F20" s="73">
        <v>3146.5</v>
      </c>
      <c r="G20" s="73">
        <v>2086.3</v>
      </c>
      <c r="H20" s="73"/>
      <c r="I20" s="73">
        <v>1585</v>
      </c>
      <c r="J20" s="77">
        <f>SUM(B20:I20)</f>
        <v>15808.599999999999</v>
      </c>
      <c r="K20" s="88">
        <f>J20/J21</f>
        <v>0.2564690765971116</v>
      </c>
    </row>
    <row r="21" spans="1:11" ht="11.25" customHeight="1">
      <c r="A21" s="75" t="s">
        <v>32</v>
      </c>
      <c r="B21" s="78">
        <f aca="true" t="shared" si="5" ref="B21:K21">SUM(B17:B20)</f>
        <v>8700.3</v>
      </c>
      <c r="C21" s="78">
        <f t="shared" si="5"/>
        <v>8931</v>
      </c>
      <c r="D21" s="78">
        <f t="shared" si="5"/>
        <v>5771</v>
      </c>
      <c r="E21" s="78">
        <f t="shared" si="5"/>
        <v>3654.5</v>
      </c>
      <c r="F21" s="78">
        <f t="shared" si="5"/>
        <v>12939.6</v>
      </c>
      <c r="G21" s="78">
        <f t="shared" si="5"/>
        <v>11314</v>
      </c>
      <c r="H21" s="78">
        <f t="shared" si="5"/>
        <v>1919.9</v>
      </c>
      <c r="I21" s="78">
        <f t="shared" si="5"/>
        <v>8409.1</v>
      </c>
      <c r="J21" s="78">
        <f t="shared" si="5"/>
        <v>61639.399999999994</v>
      </c>
      <c r="K21" s="89">
        <f t="shared" si="5"/>
        <v>1</v>
      </c>
    </row>
    <row r="22" spans="1:11" ht="11.25" customHeight="1">
      <c r="A22" s="85" t="s">
        <v>33</v>
      </c>
      <c r="B22" s="90">
        <f aca="true" t="shared" si="6" ref="B22:I22">(0.6*B4+0.4*$J$23)/B4</f>
        <v>0.8574618265629501</v>
      </c>
      <c r="C22" s="90">
        <f t="shared" si="6"/>
        <v>0.8809778336739505</v>
      </c>
      <c r="D22" s="90">
        <f t="shared" si="6"/>
        <v>1.0026357287677405</v>
      </c>
      <c r="E22" s="90">
        <f t="shared" si="6"/>
        <v>1.5160943106099436</v>
      </c>
      <c r="F22" s="90">
        <f t="shared" si="6"/>
        <v>0.99109409190372</v>
      </c>
      <c r="G22" s="90">
        <f t="shared" si="6"/>
        <v>0.942066985645933</v>
      </c>
      <c r="H22" s="90">
        <f t="shared" si="6"/>
        <v>1.3325</v>
      </c>
      <c r="I22" s="90">
        <f t="shared" si="6"/>
        <v>1.0681246726034572</v>
      </c>
      <c r="J22" s="91">
        <v>1</v>
      </c>
      <c r="K22" s="92" t="s">
        <v>64</v>
      </c>
    </row>
    <row r="23" spans="1:11" ht="11.25" customHeight="1">
      <c r="A23" s="85" t="s">
        <v>35</v>
      </c>
      <c r="B23" s="93"/>
      <c r="C23" s="93"/>
      <c r="D23" s="93"/>
      <c r="E23" s="93"/>
      <c r="F23" s="93"/>
      <c r="G23" s="93"/>
      <c r="H23" s="93"/>
      <c r="I23" s="93"/>
      <c r="J23" s="94">
        <f>J4/8</f>
        <v>4468.25</v>
      </c>
      <c r="K23" s="95" t="s">
        <v>65</v>
      </c>
    </row>
    <row r="24" spans="1:11" ht="11.25" customHeight="1">
      <c r="A24" s="85" t="s">
        <v>36</v>
      </c>
      <c r="B24" s="96">
        <f aca="true" t="shared" si="7" ref="B24:J24">1+B25/B4</f>
        <v>1.0741861135119561</v>
      </c>
      <c r="C24" s="96">
        <f t="shared" si="7"/>
        <v>1.03945920452759</v>
      </c>
      <c r="D24" s="96">
        <f t="shared" si="7"/>
        <v>1.3858977247127733</v>
      </c>
      <c r="E24" s="96">
        <f t="shared" si="7"/>
        <v>1.547924141465915</v>
      </c>
      <c r="F24" s="96">
        <f t="shared" si="7"/>
        <v>1.1393873085339168</v>
      </c>
      <c r="G24" s="96">
        <f t="shared" si="7"/>
        <v>1.3508133971291865</v>
      </c>
      <c r="H24" s="96">
        <f t="shared" si="7"/>
        <v>1.07827868852459</v>
      </c>
      <c r="I24" s="96">
        <f t="shared" si="7"/>
        <v>1.184651650078575</v>
      </c>
      <c r="J24" s="96">
        <f t="shared" si="7"/>
        <v>1.1934202428243719</v>
      </c>
      <c r="K24" s="97" t="s">
        <v>37</v>
      </c>
    </row>
    <row r="25" spans="1:11" ht="11.25" customHeight="1">
      <c r="A25" s="85" t="s">
        <v>38</v>
      </c>
      <c r="B25" s="73">
        <v>515</v>
      </c>
      <c r="C25" s="73">
        <v>251</v>
      </c>
      <c r="D25" s="73">
        <v>1713</v>
      </c>
      <c r="E25" s="73">
        <v>1069</v>
      </c>
      <c r="F25" s="73">
        <v>637</v>
      </c>
      <c r="G25" s="73">
        <v>1833</v>
      </c>
      <c r="H25" s="73">
        <v>191</v>
      </c>
      <c r="I25" s="73">
        <v>705</v>
      </c>
      <c r="J25" s="73">
        <f>SUM(B25:I25)</f>
        <v>6914</v>
      </c>
      <c r="K25" s="89"/>
    </row>
    <row r="26" spans="1:11" ht="11.25" customHeight="1">
      <c r="A26" s="85" t="s">
        <v>39</v>
      </c>
      <c r="B26" s="77">
        <v>2413.8</v>
      </c>
      <c r="C26" s="77">
        <v>1987.2</v>
      </c>
      <c r="D26" s="77">
        <v>2050</v>
      </c>
      <c r="E26" s="77">
        <v>1069</v>
      </c>
      <c r="F26" s="77">
        <v>637</v>
      </c>
      <c r="G26" s="77">
        <v>2293.9</v>
      </c>
      <c r="H26" s="77">
        <v>1280</v>
      </c>
      <c r="I26" s="77">
        <v>1220.7</v>
      </c>
      <c r="J26" s="77">
        <f>B26+C26+D26+E26+F26+G26+H26+I26</f>
        <v>12951.6</v>
      </c>
      <c r="K26" s="89"/>
    </row>
    <row r="27" spans="1:11" ht="11.25" customHeight="1">
      <c r="A27" s="85" t="s">
        <v>40</v>
      </c>
      <c r="B27" s="96">
        <f aca="true" t="shared" si="8" ref="B27:J27">(B26/B4)/($J$26/$J$4)</f>
        <v>0.9596673105371525</v>
      </c>
      <c r="C27" s="96">
        <f t="shared" si="8"/>
        <v>0.8622242056222779</v>
      </c>
      <c r="D27" s="96">
        <f t="shared" si="8"/>
        <v>1.27459656563493</v>
      </c>
      <c r="E27" s="96">
        <f t="shared" si="8"/>
        <v>1.5122530313506128</v>
      </c>
      <c r="F27" s="96">
        <f t="shared" si="8"/>
        <v>0.38470449449129</v>
      </c>
      <c r="G27" s="96">
        <f t="shared" si="8"/>
        <v>1.211691927442487</v>
      </c>
      <c r="H27" s="96">
        <f t="shared" si="8"/>
        <v>1.447852002841348</v>
      </c>
      <c r="I27" s="96">
        <f t="shared" si="8"/>
        <v>0.8824234655904141</v>
      </c>
      <c r="J27" s="96">
        <f t="shared" si="8"/>
        <v>1</v>
      </c>
      <c r="K27" s="98" t="s">
        <v>41</v>
      </c>
    </row>
    <row r="28" spans="1:11" ht="11.25" customHeight="1">
      <c r="A28" s="99" t="s">
        <v>42</v>
      </c>
      <c r="B28" s="123">
        <f aca="true" t="shared" si="9" ref="B28:J28">B29*$K$17+B30*$K$18+B31*$K$19</f>
        <v>0.6835632671747855</v>
      </c>
      <c r="C28" s="123">
        <f t="shared" si="9"/>
        <v>0.6415030114876666</v>
      </c>
      <c r="D28" s="123">
        <f t="shared" si="9"/>
        <v>1.0745903747901036</v>
      </c>
      <c r="E28" s="123">
        <f t="shared" si="9"/>
        <v>1.6550774785150464</v>
      </c>
      <c r="F28" s="123">
        <f t="shared" si="9"/>
        <v>0.6285355898299129</v>
      </c>
      <c r="G28" s="123">
        <f t="shared" si="9"/>
        <v>0.9874395927534187</v>
      </c>
      <c r="H28" s="123">
        <f t="shared" si="9"/>
        <v>1.044941342134166</v>
      </c>
      <c r="I28" s="123">
        <f t="shared" si="9"/>
        <v>0.839067137659411</v>
      </c>
      <c r="J28" s="123">
        <f t="shared" si="9"/>
        <v>0.9072267030838405</v>
      </c>
      <c r="K28" s="85" t="s">
        <v>43</v>
      </c>
    </row>
    <row r="29" spans="1:11" ht="11.25" customHeight="1">
      <c r="A29" s="73" t="s">
        <v>30</v>
      </c>
      <c r="B29" s="101">
        <f aca="true" t="shared" si="10" ref="B29:J29">B22*B24/$J$22*$J$24</f>
        <v>1.099227863809537</v>
      </c>
      <c r="C29" s="101">
        <f t="shared" si="10"/>
        <v>1.0928632715909758</v>
      </c>
      <c r="D29" s="101">
        <f t="shared" si="10"/>
        <v>1.658317784889765</v>
      </c>
      <c r="E29" s="101">
        <f t="shared" si="10"/>
        <v>2.8007174135031057</v>
      </c>
      <c r="F29" s="101">
        <f t="shared" si="10"/>
        <v>1.3476579106640585</v>
      </c>
      <c r="G29" s="101">
        <f t="shared" si="10"/>
        <v>1.518694932131905</v>
      </c>
      <c r="H29" s="101">
        <f t="shared" si="10"/>
        <v>1.714713786043239</v>
      </c>
      <c r="I29" s="101">
        <f t="shared" si="10"/>
        <v>1.5101010541106286</v>
      </c>
      <c r="J29" s="101">
        <f t="shared" si="10"/>
        <v>1.4242518759829828</v>
      </c>
      <c r="K29" s="72" t="s">
        <v>44</v>
      </c>
    </row>
    <row r="30" spans="1:11" ht="11.25" customHeight="1">
      <c r="A30" s="73" t="s">
        <v>31</v>
      </c>
      <c r="B30" s="101">
        <f aca="true" t="shared" si="11" ref="B30:J30">B24*B27/$J$24*$J$27</f>
        <v>0.8637873412727763</v>
      </c>
      <c r="C30" s="101">
        <f t="shared" si="11"/>
        <v>0.7509901832899119</v>
      </c>
      <c r="D30" s="101">
        <f t="shared" si="11"/>
        <v>1.480166346147795</v>
      </c>
      <c r="E30" s="101">
        <f t="shared" si="11"/>
        <v>1.9614657865134884</v>
      </c>
      <c r="F30" s="101">
        <f t="shared" si="11"/>
        <v>0.36728673004739526</v>
      </c>
      <c r="G30" s="101">
        <f t="shared" si="11"/>
        <v>1.3714948264234117</v>
      </c>
      <c r="H30" s="101">
        <f t="shared" si="11"/>
        <v>1.3081627936080014</v>
      </c>
      <c r="I30" s="101">
        <f t="shared" si="11"/>
        <v>0.8759399053813255</v>
      </c>
      <c r="J30" s="101">
        <f t="shared" si="11"/>
        <v>1</v>
      </c>
      <c r="K30" s="72" t="s">
        <v>45</v>
      </c>
    </row>
    <row r="31" spans="1:11" ht="11.25" customHeight="1">
      <c r="A31" s="73" t="s">
        <v>66</v>
      </c>
      <c r="B31" s="101">
        <f aca="true" t="shared" si="12" ref="B31:J31">(B19*B4)/($J$19*$J$4)</f>
        <v>0.101386210261858</v>
      </c>
      <c r="C31" s="101">
        <f t="shared" si="12"/>
        <v>0</v>
      </c>
      <c r="D31" s="101">
        <f t="shared" si="12"/>
        <v>0.022596255448077685</v>
      </c>
      <c r="E31" s="101">
        <f t="shared" si="12"/>
        <v>0.004331254702317962</v>
      </c>
      <c r="F31" s="101">
        <f t="shared" si="12"/>
        <v>0.015962053628557533</v>
      </c>
      <c r="G31" s="101">
        <f t="shared" si="12"/>
        <v>0</v>
      </c>
      <c r="H31" s="101">
        <f t="shared" si="12"/>
        <v>0.006263970892222117</v>
      </c>
      <c r="I31" s="101">
        <f t="shared" si="12"/>
        <v>0</v>
      </c>
      <c r="J31" s="101">
        <f t="shared" si="12"/>
        <v>1</v>
      </c>
      <c r="K31" s="72" t="s">
        <v>67</v>
      </c>
    </row>
    <row r="32" spans="1:11" ht="11.25" customHeight="1">
      <c r="A32" s="73"/>
      <c r="B32" s="101"/>
      <c r="C32" s="101"/>
      <c r="D32" s="101"/>
      <c r="E32" s="101"/>
      <c r="F32" s="101"/>
      <c r="G32" s="101"/>
      <c r="H32" s="101"/>
      <c r="I32" s="101"/>
      <c r="J32" s="101"/>
      <c r="K32" s="72"/>
    </row>
    <row r="33" spans="1:12" ht="11.25" customHeight="1">
      <c r="A33" s="102" t="s">
        <v>68</v>
      </c>
      <c r="B33" s="101">
        <f aca="true" t="shared" si="13" ref="B33:I33">B14/B28</f>
        <v>1.5012164467481883</v>
      </c>
      <c r="C33" s="101">
        <f t="shared" si="13"/>
        <v>1.4410717379571722</v>
      </c>
      <c r="D33" s="101">
        <f t="shared" si="13"/>
        <v>0.6654476153004526</v>
      </c>
      <c r="E33" s="101">
        <f t="shared" si="13"/>
        <v>0.5508100285735618</v>
      </c>
      <c r="F33" s="101">
        <f t="shared" si="13"/>
        <v>1.2475780641702987</v>
      </c>
      <c r="G33" s="101">
        <f t="shared" si="13"/>
        <v>1.3542532067801383</v>
      </c>
      <c r="H33" s="101">
        <f t="shared" si="13"/>
        <v>0.6539230099676354</v>
      </c>
      <c r="I33" s="101">
        <f t="shared" si="13"/>
        <v>1.7327808166307257</v>
      </c>
      <c r="J33" s="103">
        <f>(D33+E33+B33+I33)/4</f>
        <v>1.112563726813232</v>
      </c>
      <c r="K33" s="72" t="s">
        <v>69</v>
      </c>
      <c r="L33" s="3"/>
    </row>
    <row r="34" spans="1:12" ht="11.25" customHeight="1">
      <c r="A34" s="102" t="s">
        <v>68</v>
      </c>
      <c r="B34" s="101"/>
      <c r="C34" s="101"/>
      <c r="D34" s="101"/>
      <c r="E34" s="101"/>
      <c r="F34" s="101"/>
      <c r="G34" s="101"/>
      <c r="H34" s="101"/>
      <c r="I34" s="101"/>
      <c r="J34" s="103">
        <f>(B34+H34)/2</f>
        <v>0</v>
      </c>
      <c r="K34" s="72" t="s">
        <v>70</v>
      </c>
      <c r="L34" s="3"/>
    </row>
    <row r="35" spans="1:11" ht="11.25" customHeight="1">
      <c r="A35" s="105" t="s">
        <v>48</v>
      </c>
      <c r="B35" s="106">
        <v>0</v>
      </c>
      <c r="C35" s="106">
        <f aca="true" t="shared" si="14" ref="C35:I35">C36</f>
        <v>0</v>
      </c>
      <c r="D35" s="106">
        <f t="shared" si="14"/>
        <v>1213</v>
      </c>
      <c r="E35" s="106">
        <f t="shared" si="14"/>
        <v>1973</v>
      </c>
      <c r="F35" s="106">
        <f t="shared" si="14"/>
        <v>0</v>
      </c>
      <c r="G35" s="106">
        <f t="shared" si="14"/>
        <v>0</v>
      </c>
      <c r="H35" s="106">
        <f t="shared" si="14"/>
        <v>1314</v>
      </c>
      <c r="I35" s="106">
        <f t="shared" si="14"/>
        <v>0</v>
      </c>
      <c r="J35" s="106">
        <v>4500</v>
      </c>
      <c r="K35" s="107"/>
    </row>
    <row r="36" spans="1:11" ht="11.25" customHeight="1">
      <c r="A36" s="105" t="s">
        <v>71</v>
      </c>
      <c r="B36" s="108">
        <f>B37+B38</f>
        <v>0</v>
      </c>
      <c r="C36" s="108">
        <f>C37+C38</f>
        <v>0</v>
      </c>
      <c r="D36" s="108">
        <v>1213</v>
      </c>
      <c r="E36" s="108">
        <v>1973</v>
      </c>
      <c r="F36" s="108">
        <f>F37+F38</f>
        <v>0</v>
      </c>
      <c r="G36" s="108">
        <f>G37+G38</f>
        <v>0</v>
      </c>
      <c r="H36" s="108">
        <v>1314</v>
      </c>
      <c r="I36" s="108">
        <f>I37+I38</f>
        <v>0</v>
      </c>
      <c r="J36" s="108">
        <f>SUM(B36:I36)</f>
        <v>4500</v>
      </c>
      <c r="K36" s="107" t="s">
        <v>72</v>
      </c>
    </row>
    <row r="37" spans="1:12" ht="11.25" customHeight="1">
      <c r="A37" s="72" t="s">
        <v>73</v>
      </c>
      <c r="B37" s="109"/>
      <c r="C37" s="109"/>
      <c r="D37" s="109"/>
      <c r="E37" s="109"/>
      <c r="F37" s="109"/>
      <c r="G37" s="109"/>
      <c r="H37" s="109"/>
      <c r="I37" s="109"/>
      <c r="J37" s="109">
        <f>SUM(B37:I37)</f>
        <v>0</v>
      </c>
      <c r="K37" s="107" t="s">
        <v>74</v>
      </c>
      <c r="L37" s="2"/>
    </row>
    <row r="38" spans="1:11" ht="11.25" customHeight="1">
      <c r="A38" s="72" t="s">
        <v>75</v>
      </c>
      <c r="B38" s="109">
        <f aca="true" t="shared" si="15" ref="B38:I38">B40*B39</f>
        <v>0</v>
      </c>
      <c r="C38" s="109">
        <f t="shared" si="15"/>
        <v>0</v>
      </c>
      <c r="D38" s="109">
        <f t="shared" si="15"/>
        <v>589.1363803254359</v>
      </c>
      <c r="E38" s="109">
        <f t="shared" si="15"/>
        <v>501.0591183191348</v>
      </c>
      <c r="F38" s="109">
        <f t="shared" si="15"/>
        <v>0</v>
      </c>
      <c r="G38" s="109">
        <f t="shared" si="15"/>
        <v>0</v>
      </c>
      <c r="H38" s="109">
        <f t="shared" si="15"/>
        <v>323.01432074146874</v>
      </c>
      <c r="I38" s="109">
        <f t="shared" si="15"/>
        <v>0</v>
      </c>
      <c r="J38" s="109">
        <f>SUM(B38:I38)</f>
        <v>1413.2098193860395</v>
      </c>
      <c r="K38" s="107" t="s">
        <v>76</v>
      </c>
    </row>
    <row r="39" spans="1:11" ht="11.25" customHeight="1">
      <c r="A39" s="85" t="s">
        <v>77</v>
      </c>
      <c r="B39" s="101">
        <v>0.2</v>
      </c>
      <c r="C39" s="101">
        <v>0.2</v>
      </c>
      <c r="D39" s="101">
        <v>0.2</v>
      </c>
      <c r="E39" s="101">
        <v>0.2</v>
      </c>
      <c r="F39" s="101">
        <v>0.2</v>
      </c>
      <c r="G39" s="101">
        <v>0.2</v>
      </c>
      <c r="H39" s="101">
        <v>0.2</v>
      </c>
      <c r="I39" s="101">
        <v>0.2</v>
      </c>
      <c r="J39" s="110"/>
      <c r="K39" s="73" t="s">
        <v>78</v>
      </c>
    </row>
    <row r="40" spans="1:11" ht="11.25" customHeight="1">
      <c r="A40" s="85" t="s">
        <v>79</v>
      </c>
      <c r="B40" s="109"/>
      <c r="C40" s="109"/>
      <c r="D40" s="109">
        <f>($J$43/$J$4)*($J$33-D33)*D28*D4</f>
        <v>2945.6819016271793</v>
      </c>
      <c r="E40" s="109">
        <f>($J$43/$J$4)*($J$33-E33)*E28*E4</f>
        <v>2505.295591595674</v>
      </c>
      <c r="F40" s="109"/>
      <c r="G40" s="109"/>
      <c r="H40" s="109">
        <f>($J$43/$J$4)*($J$33-H33)*H28*H4</f>
        <v>1615.0716037073435</v>
      </c>
      <c r="I40" s="109"/>
      <c r="J40" s="111">
        <f>SUM(B40:I40)</f>
        <v>7066.049096930197</v>
      </c>
      <c r="K40" s="72" t="s">
        <v>80</v>
      </c>
    </row>
    <row r="41" spans="1:11" ht="11.25" customHeight="1">
      <c r="A41" s="85" t="s">
        <v>81</v>
      </c>
      <c r="B41" s="109">
        <f aca="true" t="shared" si="16" ref="B41:J41">B33+B38/(B28*B4*($J$12+$J$38)/$J$4)</f>
        <v>1.5012164467481883</v>
      </c>
      <c r="C41" s="109">
        <f t="shared" si="16"/>
        <v>1.4410717379571722</v>
      </c>
      <c r="D41" s="109">
        <f t="shared" si="16"/>
        <v>0.744000720143312</v>
      </c>
      <c r="E41" s="109">
        <f t="shared" si="16"/>
        <v>0.6495036251974525</v>
      </c>
      <c r="F41" s="109">
        <f t="shared" si="16"/>
        <v>1.2475780641702987</v>
      </c>
      <c r="G41" s="109">
        <f t="shared" si="16"/>
        <v>1.3542532067801383</v>
      </c>
      <c r="H41" s="109">
        <f t="shared" si="16"/>
        <v>0.7345008540396816</v>
      </c>
      <c r="I41" s="109">
        <f t="shared" si="16"/>
        <v>1.7327808166307257</v>
      </c>
      <c r="J41" s="109">
        <f t="shared" si="16"/>
        <v>1.140280264333808</v>
      </c>
      <c r="K41" s="112" t="s">
        <v>82</v>
      </c>
    </row>
    <row r="42" spans="1:11" ht="11.25" customHeight="1">
      <c r="A42" s="85" t="s">
        <v>83</v>
      </c>
      <c r="B42" s="109">
        <f aca="true" t="shared" si="17" ref="B42:I42">($J$43/$J$4)*(1-B41)*B28*B4</f>
        <v>-3284.9296646785588</v>
      </c>
      <c r="C42" s="109">
        <f t="shared" si="17"/>
        <v>-2485.8262023449333</v>
      </c>
      <c r="D42" s="109">
        <f t="shared" si="17"/>
        <v>1686.5696092946175</v>
      </c>
      <c r="E42" s="109">
        <f t="shared" si="17"/>
        <v>1563.135276927808</v>
      </c>
      <c r="F42" s="109">
        <f t="shared" si="17"/>
        <v>-982.1903715096851</v>
      </c>
      <c r="G42" s="109">
        <f t="shared" si="17"/>
        <v>-2524.341211303713</v>
      </c>
      <c r="H42" s="109">
        <f t="shared" si="17"/>
        <v>934.9369031128106</v>
      </c>
      <c r="I42" s="109">
        <f t="shared" si="17"/>
        <v>-3242.2325625637422</v>
      </c>
      <c r="J42" s="109">
        <f>SUM(B42:I42)</f>
        <v>-8334.878223065396</v>
      </c>
      <c r="K42" s="72" t="s">
        <v>84</v>
      </c>
    </row>
    <row r="43" spans="1:11" ht="11.25" customHeight="1">
      <c r="A43" s="72" t="s">
        <v>53</v>
      </c>
      <c r="B43" s="113">
        <v>10593.6</v>
      </c>
      <c r="C43" s="113">
        <v>9457.3</v>
      </c>
      <c r="D43" s="113">
        <v>3603.9</v>
      </c>
      <c r="E43" s="113">
        <v>2172.9</v>
      </c>
      <c r="F43" s="113">
        <v>4402.1</v>
      </c>
      <c r="G43" s="113">
        <v>9569</v>
      </c>
      <c r="H43" s="113">
        <v>2008.4</v>
      </c>
      <c r="I43" s="113">
        <v>7563</v>
      </c>
      <c r="J43" s="113">
        <f>SUM(B43:I43)</f>
        <v>49370.200000000004</v>
      </c>
      <c r="K43" s="72"/>
    </row>
    <row r="44" spans="1:11" ht="11.25" customHeight="1">
      <c r="A44" s="72" t="s">
        <v>54</v>
      </c>
      <c r="B44" s="109">
        <f aca="true" t="shared" si="18" ref="B44:J44">B43/B4*1000</f>
        <v>1526.0155574762318</v>
      </c>
      <c r="C44" s="109">
        <f t="shared" si="18"/>
        <v>1486.763087564848</v>
      </c>
      <c r="D44" s="109">
        <f t="shared" si="18"/>
        <v>811.8720432529849</v>
      </c>
      <c r="E44" s="109">
        <f t="shared" si="18"/>
        <v>1113.7365453613531</v>
      </c>
      <c r="F44" s="109">
        <f t="shared" si="18"/>
        <v>963.2603938730854</v>
      </c>
      <c r="G44" s="109">
        <f t="shared" si="18"/>
        <v>1831.3875598086124</v>
      </c>
      <c r="H44" s="109">
        <f t="shared" si="18"/>
        <v>823.1147540983607</v>
      </c>
      <c r="I44" s="109">
        <f t="shared" si="18"/>
        <v>1980.8800419067575</v>
      </c>
      <c r="J44" s="109">
        <f t="shared" si="18"/>
        <v>1381.1391484361889</v>
      </c>
      <c r="K44" s="114" t="s">
        <v>55</v>
      </c>
    </row>
    <row r="45" spans="1:11" ht="11.25" customHeight="1">
      <c r="A45" s="84" t="s">
        <v>56</v>
      </c>
      <c r="B45" s="115">
        <f aca="true" t="shared" si="19" ref="B45:J45">B11+B36</f>
        <v>1978.7011022212273</v>
      </c>
      <c r="C45" s="115">
        <f t="shared" si="19"/>
        <v>1813.0967604766965</v>
      </c>
      <c r="D45" s="115">
        <f t="shared" si="19"/>
        <v>2478.2627762546854</v>
      </c>
      <c r="E45" s="115">
        <f t="shared" si="19"/>
        <v>2529.0999496447157</v>
      </c>
      <c r="F45" s="115">
        <f t="shared" si="19"/>
        <v>1302.6021373020756</v>
      </c>
      <c r="G45" s="115">
        <f t="shared" si="19"/>
        <v>1489.2989425390251</v>
      </c>
      <c r="H45" s="115">
        <f t="shared" si="19"/>
        <v>2009.4812286689419</v>
      </c>
      <c r="I45" s="115">
        <f t="shared" si="19"/>
        <v>1088.2571028926313</v>
      </c>
      <c r="J45" s="115">
        <f t="shared" si="19"/>
        <v>14688.8</v>
      </c>
      <c r="K45" s="72"/>
    </row>
    <row r="46" spans="1:10" ht="11.25" customHeight="1">
      <c r="A46" s="5"/>
      <c r="B46" s="6"/>
      <c r="C46" s="6"/>
      <c r="D46" s="6"/>
      <c r="E46" s="6"/>
      <c r="F46" s="6"/>
      <c r="G46" s="6"/>
      <c r="H46" s="6"/>
      <c r="I46" s="6"/>
      <c r="J46" s="6"/>
    </row>
    <row r="47" spans="1:10" ht="11.25" customHeight="1">
      <c r="A47" s="5"/>
      <c r="B47" s="6"/>
      <c r="C47" s="6"/>
      <c r="D47" s="6"/>
      <c r="E47" s="6"/>
      <c r="F47" s="6"/>
      <c r="G47" s="6"/>
      <c r="H47" s="6"/>
      <c r="I47" s="6"/>
      <c r="J47" s="6"/>
    </row>
    <row r="48" spans="1:2" ht="11.25" customHeight="1">
      <c r="A48" s="1" t="s">
        <v>58</v>
      </c>
      <c r="B48" s="3"/>
    </row>
    <row r="49" spans="1:2" ht="11.25" customHeight="1">
      <c r="A49" s="4" t="s">
        <v>59</v>
      </c>
      <c r="B49" s="3"/>
    </row>
  </sheetData>
  <sheetProtection/>
  <mergeCells count="2">
    <mergeCell ref="A1:K1"/>
    <mergeCell ref="A2:K2"/>
  </mergeCells>
  <printOptions/>
  <pageMargins left="0.708333333333333" right="0.708333333333333" top="0" bottom="0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60" zoomScaleNormal="60" workbookViewId="0" topLeftCell="A1">
      <selection activeCell="N28" sqref="N28"/>
    </sheetView>
  </sheetViews>
  <sheetFormatPr defaultColWidth="16.00390625" defaultRowHeight="15"/>
  <cols>
    <col min="1" max="1" width="66.140625" style="190" customWidth="1"/>
    <col min="2" max="9" width="16.00390625" style="174" customWidth="1"/>
    <col min="10" max="10" width="15.7109375" style="174" customWidth="1"/>
    <col min="11" max="11" width="63.57421875" style="181" hidden="1" customWidth="1"/>
    <col min="12" max="12" width="5.421875" style="173" hidden="1" customWidth="1"/>
    <col min="13" max="16384" width="16.00390625" style="174" customWidth="1"/>
  </cols>
  <sheetData>
    <row r="1" spans="1:11" ht="38.25" customHeight="1">
      <c r="A1" s="228" t="s">
        <v>99</v>
      </c>
      <c r="B1" s="229"/>
      <c r="C1" s="229"/>
      <c r="D1" s="229"/>
      <c r="E1" s="229"/>
      <c r="F1" s="229"/>
      <c r="G1" s="229"/>
      <c r="H1" s="229"/>
      <c r="I1" s="229"/>
      <c r="J1" s="229"/>
      <c r="K1" s="198"/>
    </row>
    <row r="2" spans="1:11" ht="15">
      <c r="A2" s="226" t="s">
        <v>93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s="176" customFormat="1" ht="46.5">
      <c r="A3" s="185"/>
      <c r="B3" s="139" t="s">
        <v>2</v>
      </c>
      <c r="C3" s="139" t="s">
        <v>3</v>
      </c>
      <c r="D3" s="168" t="s">
        <v>4</v>
      </c>
      <c r="E3" s="139" t="s">
        <v>5</v>
      </c>
      <c r="F3" s="139" t="s">
        <v>6</v>
      </c>
      <c r="G3" s="139" t="s">
        <v>7</v>
      </c>
      <c r="H3" s="139" t="s">
        <v>8</v>
      </c>
      <c r="I3" s="139" t="s">
        <v>9</v>
      </c>
      <c r="J3" s="153" t="s">
        <v>10</v>
      </c>
      <c r="K3" s="169" t="s">
        <v>11</v>
      </c>
      <c r="L3" s="175"/>
    </row>
    <row r="4" spans="1:12" ht="15">
      <c r="A4" s="186" t="s">
        <v>97</v>
      </c>
      <c r="B4" s="192">
        <v>6643</v>
      </c>
      <c r="C4" s="192">
        <v>6040</v>
      </c>
      <c r="D4" s="192">
        <v>4295</v>
      </c>
      <c r="E4" s="192">
        <v>1863</v>
      </c>
      <c r="F4" s="192">
        <v>4331</v>
      </c>
      <c r="G4" s="192">
        <v>4987</v>
      </c>
      <c r="H4" s="192">
        <v>2344</v>
      </c>
      <c r="I4" s="192">
        <v>3615</v>
      </c>
      <c r="J4" s="193">
        <f>B4+C4+D4+E4+F4+G4+H4+I4</f>
        <v>34118</v>
      </c>
      <c r="K4" s="170"/>
      <c r="L4" s="177">
        <v>1</v>
      </c>
    </row>
    <row r="5" spans="1:12" ht="15">
      <c r="A5" s="140" t="s">
        <v>13</v>
      </c>
      <c r="B5" s="154"/>
      <c r="C5" s="154"/>
      <c r="D5" s="154"/>
      <c r="E5" s="154"/>
      <c r="F5" s="154"/>
      <c r="G5" s="154"/>
      <c r="H5" s="154"/>
      <c r="I5" s="154"/>
      <c r="J5" s="146"/>
      <c r="K5" s="141"/>
      <c r="L5" s="167"/>
    </row>
    <row r="6" spans="1:12" ht="15">
      <c r="A6" s="142" t="s">
        <v>14</v>
      </c>
      <c r="B6" s="141"/>
      <c r="C6" s="141"/>
      <c r="D6" s="141"/>
      <c r="E6" s="141"/>
      <c r="F6" s="141"/>
      <c r="G6" s="141"/>
      <c r="H6" s="141"/>
      <c r="I6" s="141"/>
      <c r="J6" s="143"/>
      <c r="K6" s="141" t="s">
        <v>15</v>
      </c>
      <c r="L6" s="167"/>
    </row>
    <row r="7" spans="1:12" ht="15">
      <c r="A7" s="187" t="s">
        <v>16</v>
      </c>
      <c r="B7" s="194">
        <v>5755</v>
      </c>
      <c r="C7" s="194">
        <v>4628.6</v>
      </c>
      <c r="D7" s="194">
        <v>590</v>
      </c>
      <c r="E7" s="194">
        <v>430</v>
      </c>
      <c r="F7" s="194">
        <v>960</v>
      </c>
      <c r="G7" s="194">
        <v>2670</v>
      </c>
      <c r="H7" s="194">
        <v>460</v>
      </c>
      <c r="I7" s="194">
        <v>2880</v>
      </c>
      <c r="J7" s="195">
        <f>SUM(B7:I7)</f>
        <v>18373.6</v>
      </c>
      <c r="K7" s="170"/>
      <c r="L7" s="177">
        <v>1</v>
      </c>
    </row>
    <row r="8" spans="1:12" ht="15">
      <c r="A8" s="187" t="s">
        <v>17</v>
      </c>
      <c r="B8" s="194">
        <v>810</v>
      </c>
      <c r="C8" s="194">
        <v>760</v>
      </c>
      <c r="D8" s="194">
        <v>670</v>
      </c>
      <c r="E8" s="194">
        <v>220</v>
      </c>
      <c r="F8" s="194">
        <v>460</v>
      </c>
      <c r="G8" s="194">
        <v>560</v>
      </c>
      <c r="H8" s="194">
        <v>210</v>
      </c>
      <c r="I8" s="194">
        <v>470</v>
      </c>
      <c r="J8" s="195">
        <f>SUM(B8:I8)</f>
        <v>4160</v>
      </c>
      <c r="K8" s="170"/>
      <c r="L8" s="177">
        <v>1</v>
      </c>
    </row>
    <row r="9" spans="1:12" ht="15">
      <c r="A9" s="187" t="s">
        <v>18</v>
      </c>
      <c r="B9" s="194">
        <v>3450</v>
      </c>
      <c r="C9" s="194">
        <v>2900</v>
      </c>
      <c r="D9" s="194">
        <v>3050</v>
      </c>
      <c r="E9" s="194">
        <v>1850</v>
      </c>
      <c r="F9" s="194">
        <v>3450</v>
      </c>
      <c r="G9" s="194">
        <v>7550</v>
      </c>
      <c r="H9" s="194">
        <v>1700</v>
      </c>
      <c r="I9" s="194">
        <v>6050</v>
      </c>
      <c r="J9" s="195">
        <f>SUM(B9:I9)</f>
        <v>30000</v>
      </c>
      <c r="K9" s="170"/>
      <c r="L9" s="177">
        <v>1</v>
      </c>
    </row>
    <row r="10" spans="1:12" ht="15.75" thickBot="1">
      <c r="A10" s="200" t="s">
        <v>19</v>
      </c>
      <c r="B10" s="201">
        <f aca="true" t="shared" si="0" ref="B10:I10">SUM(B7:B9)</f>
        <v>10015</v>
      </c>
      <c r="C10" s="201">
        <f t="shared" si="0"/>
        <v>8288.6</v>
      </c>
      <c r="D10" s="201">
        <f t="shared" si="0"/>
        <v>4310</v>
      </c>
      <c r="E10" s="201">
        <f t="shared" si="0"/>
        <v>2500</v>
      </c>
      <c r="F10" s="201">
        <f t="shared" si="0"/>
        <v>4870</v>
      </c>
      <c r="G10" s="201">
        <f t="shared" si="0"/>
        <v>10780</v>
      </c>
      <c r="H10" s="201">
        <f t="shared" si="0"/>
        <v>2370</v>
      </c>
      <c r="I10" s="201">
        <f t="shared" si="0"/>
        <v>9400</v>
      </c>
      <c r="J10" s="201">
        <f>SUM(B10:I10)</f>
        <v>52533.6</v>
      </c>
      <c r="K10" s="170"/>
      <c r="L10" s="177">
        <v>1</v>
      </c>
    </row>
    <row r="11" spans="1:12" s="172" customFormat="1" ht="31.5" thickBot="1">
      <c r="A11" s="216" t="s">
        <v>20</v>
      </c>
      <c r="B11" s="217">
        <f aca="true" t="shared" si="1" ref="B11:I11">($J$11/$J$4)*B4</f>
        <v>2166.3271214608126</v>
      </c>
      <c r="C11" s="217">
        <f t="shared" si="1"/>
        <v>1969.6847529163492</v>
      </c>
      <c r="D11" s="217">
        <f t="shared" si="1"/>
        <v>1400.6284791019405</v>
      </c>
      <c r="E11" s="217">
        <f>($J$11/$J$4)*E4+0.001</f>
        <v>607.5378699806554</v>
      </c>
      <c r="F11" s="217">
        <f t="shared" si="1"/>
        <v>1412.3683220001174</v>
      </c>
      <c r="G11" s="217">
        <f t="shared" si="1"/>
        <v>1626.2943481446744</v>
      </c>
      <c r="H11" s="217">
        <f t="shared" si="1"/>
        <v>764.3942153701859</v>
      </c>
      <c r="I11" s="217">
        <f t="shared" si="1"/>
        <v>1178.8758910252652</v>
      </c>
      <c r="J11" s="218">
        <f>11128.2-2.09</f>
        <v>11126.11</v>
      </c>
      <c r="K11" s="199" t="s">
        <v>21</v>
      </c>
      <c r="L11" s="184">
        <v>1</v>
      </c>
    </row>
    <row r="12" spans="1:12" ht="15">
      <c r="A12" s="202" t="s">
        <v>22</v>
      </c>
      <c r="B12" s="203">
        <f aca="true" t="shared" si="2" ref="B12:J12">B10+B11</f>
        <v>12181.327121460812</v>
      </c>
      <c r="C12" s="203">
        <f t="shared" si="2"/>
        <v>10258.28475291635</v>
      </c>
      <c r="D12" s="203">
        <f t="shared" si="2"/>
        <v>5710.628479101941</v>
      </c>
      <c r="E12" s="203">
        <f t="shared" si="2"/>
        <v>3107.537869980655</v>
      </c>
      <c r="F12" s="203">
        <f t="shared" si="2"/>
        <v>6282.368322000118</v>
      </c>
      <c r="G12" s="203">
        <f t="shared" si="2"/>
        <v>12406.294348144675</v>
      </c>
      <c r="H12" s="203">
        <f t="shared" si="2"/>
        <v>3134.394215370186</v>
      </c>
      <c r="I12" s="203">
        <f t="shared" si="2"/>
        <v>10578.875891025265</v>
      </c>
      <c r="J12" s="203">
        <f t="shared" si="2"/>
        <v>63659.71</v>
      </c>
      <c r="K12" s="144" t="s">
        <v>23</v>
      </c>
      <c r="L12" s="167"/>
    </row>
    <row r="13" spans="1:12" ht="15">
      <c r="A13" s="141" t="s">
        <v>24</v>
      </c>
      <c r="B13" s="156">
        <f aca="true" t="shared" si="3" ref="B13:J13">B12/B4</f>
        <v>1.8337087342256229</v>
      </c>
      <c r="C13" s="156">
        <f t="shared" si="3"/>
        <v>1.6983915153835016</v>
      </c>
      <c r="D13" s="156">
        <f t="shared" si="3"/>
        <v>1.3295991802332807</v>
      </c>
      <c r="E13" s="156">
        <f t="shared" si="3"/>
        <v>1.668028915716938</v>
      </c>
      <c r="F13" s="156">
        <f t="shared" si="3"/>
        <v>1.4505583749711655</v>
      </c>
      <c r="G13" s="156">
        <f t="shared" si="3"/>
        <v>2.4877269597242178</v>
      </c>
      <c r="H13" s="156">
        <f t="shared" si="3"/>
        <v>1.3371988973422295</v>
      </c>
      <c r="I13" s="156">
        <f t="shared" si="3"/>
        <v>2.9263833723444717</v>
      </c>
      <c r="J13" s="156">
        <f t="shared" si="3"/>
        <v>1.8658687496336244</v>
      </c>
      <c r="K13" s="144"/>
      <c r="L13" s="167"/>
    </row>
    <row r="14" spans="1:12" ht="15">
      <c r="A14" s="145" t="s">
        <v>25</v>
      </c>
      <c r="B14" s="156">
        <f aca="true" t="shared" si="4" ref="B14:J14">(B12/B4)/($J$12/$J$4)</f>
        <v>0.9827640527157571</v>
      </c>
      <c r="C14" s="156">
        <f t="shared" si="4"/>
        <v>0.9102416853902462</v>
      </c>
      <c r="D14" s="156">
        <f t="shared" si="4"/>
        <v>0.7125898756246152</v>
      </c>
      <c r="E14" s="156">
        <f t="shared" si="4"/>
        <v>0.8939690511695779</v>
      </c>
      <c r="F14" s="156">
        <f t="shared" si="4"/>
        <v>0.7774171550147845</v>
      </c>
      <c r="G14" s="156">
        <f t="shared" si="4"/>
        <v>1.33328078955859</v>
      </c>
      <c r="H14" s="156">
        <f t="shared" si="4"/>
        <v>0.716662893681454</v>
      </c>
      <c r="I14" s="156">
        <f t="shared" si="4"/>
        <v>1.5683757889825243</v>
      </c>
      <c r="J14" s="156">
        <f t="shared" si="4"/>
        <v>1</v>
      </c>
      <c r="K14" s="144" t="s">
        <v>26</v>
      </c>
      <c r="L14" s="167"/>
    </row>
    <row r="15" spans="1:12" ht="15">
      <c r="A15" s="146" t="s">
        <v>27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67"/>
    </row>
    <row r="16" spans="1:12" ht="15">
      <c r="A16" s="142" t="s">
        <v>28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4" t="s">
        <v>29</v>
      </c>
      <c r="L16" s="167"/>
    </row>
    <row r="17" spans="1:12" ht="15">
      <c r="A17" s="188" t="s">
        <v>30</v>
      </c>
      <c r="B17" s="194">
        <v>3182.5</v>
      </c>
      <c r="C17" s="194">
        <v>4000</v>
      </c>
      <c r="D17" s="194">
        <v>1945.4</v>
      </c>
      <c r="E17" s="194">
        <v>1239.5</v>
      </c>
      <c r="F17" s="194">
        <v>2658.4</v>
      </c>
      <c r="G17" s="194">
        <v>3173.4</v>
      </c>
      <c r="H17" s="194">
        <v>2010.9</v>
      </c>
      <c r="I17" s="194">
        <v>4000</v>
      </c>
      <c r="J17" s="194">
        <f>SUM(B17:I17)</f>
        <v>22210.1</v>
      </c>
      <c r="K17" s="171">
        <f>J17/J21</f>
        <v>0.356242230794524</v>
      </c>
      <c r="L17" s="177">
        <v>1</v>
      </c>
    </row>
    <row r="18" spans="1:12" ht="15">
      <c r="A18" s="188" t="s">
        <v>31</v>
      </c>
      <c r="B18" s="194">
        <v>2899.4</v>
      </c>
      <c r="C18" s="194">
        <v>2049.8</v>
      </c>
      <c r="D18" s="194">
        <v>2603.6</v>
      </c>
      <c r="E18" s="194">
        <v>342.1</v>
      </c>
      <c r="F18" s="194">
        <f>2166</f>
        <v>2166</v>
      </c>
      <c r="G18" s="194">
        <f>4488</f>
        <v>4488</v>
      </c>
      <c r="H18" s="194">
        <f>305.9</f>
        <v>305.9</v>
      </c>
      <c r="I18" s="194">
        <v>1874.9</v>
      </c>
      <c r="J18" s="194">
        <f>SUM(B18:I18)</f>
        <v>16729.7</v>
      </c>
      <c r="K18" s="171">
        <f>J18/J21</f>
        <v>0.26833853285321313</v>
      </c>
      <c r="L18" s="177">
        <v>1</v>
      </c>
    </row>
    <row r="19" spans="1:12" ht="15">
      <c r="A19" s="188" t="s">
        <v>66</v>
      </c>
      <c r="B19" s="194"/>
      <c r="C19" s="194"/>
      <c r="D19" s="194"/>
      <c r="E19" s="194"/>
      <c r="F19" s="194"/>
      <c r="G19" s="194"/>
      <c r="H19" s="194">
        <v>539.7</v>
      </c>
      <c r="I19" s="194"/>
      <c r="J19" s="194">
        <v>1013.9</v>
      </c>
      <c r="K19" s="178">
        <f>J19/J21</f>
        <v>0.016262601150042903</v>
      </c>
      <c r="L19" s="177">
        <v>1</v>
      </c>
    </row>
    <row r="20" spans="1:12" ht="15">
      <c r="A20" s="188" t="s">
        <v>63</v>
      </c>
      <c r="B20" s="194">
        <v>1594</v>
      </c>
      <c r="C20" s="194">
        <v>6496.2</v>
      </c>
      <c r="D20" s="194">
        <v>2678.3</v>
      </c>
      <c r="E20" s="194">
        <v>1483.6</v>
      </c>
      <c r="F20" s="194">
        <v>1460.9</v>
      </c>
      <c r="G20" s="194">
        <v>3713.4</v>
      </c>
      <c r="H20" s="194">
        <v>735.8</v>
      </c>
      <c r="I20" s="194">
        <v>4229.6</v>
      </c>
      <c r="J20" s="194">
        <f>SUM(B20:I20)</f>
        <v>22391.800000000003</v>
      </c>
      <c r="K20" s="171">
        <f>J20/J21</f>
        <v>0.3591566352022199</v>
      </c>
      <c r="L20" s="177">
        <v>1</v>
      </c>
    </row>
    <row r="21" spans="1:12" ht="15">
      <c r="A21" s="143" t="s">
        <v>32</v>
      </c>
      <c r="B21" s="155">
        <f aca="true" t="shared" si="5" ref="B21:K21">SUM(B17:B20)</f>
        <v>7675.9</v>
      </c>
      <c r="C21" s="155">
        <f t="shared" si="5"/>
        <v>12546</v>
      </c>
      <c r="D21" s="155">
        <f t="shared" si="5"/>
        <v>7227.3</v>
      </c>
      <c r="E21" s="155">
        <f t="shared" si="5"/>
        <v>3065.2</v>
      </c>
      <c r="F21" s="155">
        <f t="shared" si="5"/>
        <v>6285.299999999999</v>
      </c>
      <c r="G21" s="155">
        <f t="shared" si="5"/>
        <v>11374.8</v>
      </c>
      <c r="H21" s="155">
        <f t="shared" si="5"/>
        <v>3592.3</v>
      </c>
      <c r="I21" s="155">
        <f t="shared" si="5"/>
        <v>10104.5</v>
      </c>
      <c r="J21" s="155">
        <f t="shared" si="5"/>
        <v>62345.50000000001</v>
      </c>
      <c r="K21" s="147">
        <f t="shared" si="5"/>
        <v>1</v>
      </c>
      <c r="L21" s="167"/>
    </row>
    <row r="22" spans="1:12" ht="30.75">
      <c r="A22" s="144" t="s">
        <v>33</v>
      </c>
      <c r="B22" s="157">
        <f aca="true" t="shared" si="6" ref="B22:I22">(0.6*B4+0.4*$J$23)/B4</f>
        <v>0.8567966280295047</v>
      </c>
      <c r="C22" s="157">
        <f t="shared" si="6"/>
        <v>0.8824337748344371</v>
      </c>
      <c r="D22" s="157">
        <f t="shared" si="6"/>
        <v>0.9971827706635622</v>
      </c>
      <c r="E22" s="157">
        <f t="shared" si="6"/>
        <v>1.5156736446591519</v>
      </c>
      <c r="F22" s="157">
        <f t="shared" si="6"/>
        <v>0.9938813207111522</v>
      </c>
      <c r="G22" s="157">
        <f t="shared" si="6"/>
        <v>0.9420693803890116</v>
      </c>
      <c r="H22" s="157">
        <f t="shared" si="6"/>
        <v>1.3277730375426622</v>
      </c>
      <c r="I22" s="157">
        <f t="shared" si="6"/>
        <v>1.0718948824343015</v>
      </c>
      <c r="J22" s="157">
        <f>(B22+C22+D22+E22+F22+G22+H22+I22)/8</f>
        <v>1.073463179907973</v>
      </c>
      <c r="K22" s="148" t="s">
        <v>64</v>
      </c>
      <c r="L22" s="167"/>
    </row>
    <row r="23" spans="1:12" ht="15">
      <c r="A23" s="144" t="s">
        <v>35</v>
      </c>
      <c r="B23" s="158"/>
      <c r="C23" s="158"/>
      <c r="D23" s="158"/>
      <c r="E23" s="158"/>
      <c r="F23" s="158"/>
      <c r="G23" s="158"/>
      <c r="H23" s="158"/>
      <c r="I23" s="158"/>
      <c r="J23" s="159">
        <f>J4/8</f>
        <v>4264.75</v>
      </c>
      <c r="K23" s="147" t="s">
        <v>65</v>
      </c>
      <c r="L23" s="167"/>
    </row>
    <row r="24" spans="1:12" ht="62.25">
      <c r="A24" s="144" t="s">
        <v>36</v>
      </c>
      <c r="B24" s="160">
        <f aca="true" t="shared" si="7" ref="B24:J24">1+B25/B4</f>
        <v>1.0772241457172964</v>
      </c>
      <c r="C24" s="160">
        <f t="shared" si="7"/>
        <v>1.0405629139072847</v>
      </c>
      <c r="D24" s="160">
        <f t="shared" si="7"/>
        <v>1.390454016298021</v>
      </c>
      <c r="E24" s="160">
        <f t="shared" si="7"/>
        <v>1.544820182501342</v>
      </c>
      <c r="F24" s="160">
        <f t="shared" si="7"/>
        <v>1.1399214961902562</v>
      </c>
      <c r="G24" s="160">
        <f t="shared" si="7"/>
        <v>1.360938439943854</v>
      </c>
      <c r="H24" s="160">
        <f t="shared" si="7"/>
        <v>1.0755119453924915</v>
      </c>
      <c r="I24" s="160">
        <f t="shared" si="7"/>
        <v>1.179253112033195</v>
      </c>
      <c r="J24" s="160">
        <f t="shared" si="7"/>
        <v>1.1958203880649512</v>
      </c>
      <c r="K24" s="149" t="s">
        <v>37</v>
      </c>
      <c r="L24" s="167"/>
    </row>
    <row r="25" spans="1:12" ht="46.5">
      <c r="A25" s="187" t="s">
        <v>38</v>
      </c>
      <c r="B25" s="194">
        <v>513</v>
      </c>
      <c r="C25" s="194">
        <v>245</v>
      </c>
      <c r="D25" s="194">
        <v>1677</v>
      </c>
      <c r="E25" s="194">
        <v>1015</v>
      </c>
      <c r="F25" s="194">
        <v>606</v>
      </c>
      <c r="G25" s="194">
        <v>1800</v>
      </c>
      <c r="H25" s="194">
        <v>177</v>
      </c>
      <c r="I25" s="194">
        <v>648</v>
      </c>
      <c r="J25" s="194">
        <f>SUM(B25:I25)</f>
        <v>6681</v>
      </c>
      <c r="K25" s="171"/>
      <c r="L25" s="177">
        <v>1</v>
      </c>
    </row>
    <row r="26" spans="1:12" s="172" customFormat="1" ht="30.75">
      <c r="A26" s="187" t="s">
        <v>39</v>
      </c>
      <c r="B26" s="194">
        <f>2800-93.012</f>
        <v>2706.988</v>
      </c>
      <c r="C26" s="194">
        <f>2999+172.478</f>
        <v>3171.478</v>
      </c>
      <c r="D26" s="194">
        <f>1029-168.865</f>
        <v>860.135</v>
      </c>
      <c r="E26" s="194">
        <f>380+119.794</f>
        <v>499.794</v>
      </c>
      <c r="F26" s="194">
        <f>1024.1+49.855</f>
        <v>1073.955</v>
      </c>
      <c r="G26" s="194">
        <f>2337-119.266</f>
        <v>2217.734</v>
      </c>
      <c r="H26" s="194">
        <f>572.9+117.533</f>
        <v>690.433</v>
      </c>
      <c r="I26" s="194">
        <f>2075-139.13</f>
        <v>1935.87</v>
      </c>
      <c r="J26" s="194">
        <f>B26+C26+D26+E26+F26+G26+H26+I26</f>
        <v>13156.386999999999</v>
      </c>
      <c r="K26" s="182"/>
      <c r="L26" s="183">
        <v>1</v>
      </c>
    </row>
    <row r="27" spans="1:12" ht="30.75">
      <c r="A27" s="144" t="s">
        <v>40</v>
      </c>
      <c r="B27" s="160">
        <f>(B26/B4)/($J$26/$J$4)</f>
        <v>1.0567420835466956</v>
      </c>
      <c r="C27" s="160">
        <f aca="true" t="shared" si="8" ref="C27:J27">(C26/C4)/($J$26/$J$4)</f>
        <v>1.361669436060783</v>
      </c>
      <c r="D27" s="160">
        <f t="shared" si="8"/>
        <v>0.5193383296564675</v>
      </c>
      <c r="E27" s="160">
        <f t="shared" si="8"/>
        <v>0.6957049736508605</v>
      </c>
      <c r="F27" s="160">
        <f t="shared" si="8"/>
        <v>0.6430501227796741</v>
      </c>
      <c r="G27" s="160">
        <f t="shared" si="8"/>
        <v>1.1532328674242311</v>
      </c>
      <c r="H27" s="160">
        <f t="shared" si="8"/>
        <v>0.7638548814802922</v>
      </c>
      <c r="I27" s="160">
        <f t="shared" si="8"/>
        <v>1.3887203927006575</v>
      </c>
      <c r="J27" s="160">
        <f t="shared" si="8"/>
        <v>1</v>
      </c>
      <c r="K27" s="149" t="s">
        <v>41</v>
      </c>
      <c r="L27" s="167"/>
    </row>
    <row r="28" spans="1:12" ht="30.75">
      <c r="A28" s="150" t="s">
        <v>42</v>
      </c>
      <c r="B28" s="161">
        <f>B29*$K$17+B30*$K$18+B31*$K$19+B32*$K$20</f>
        <v>1.0119429483831055</v>
      </c>
      <c r="C28" s="161">
        <f>C29*$K$17+C30*$K$18+C31*$K$19+C32*$K$20</f>
        <v>1.18259305587764</v>
      </c>
      <c r="D28" s="161">
        <f>D29*$K$17+D30*$K$18+D31*$K$19+D32*$K$20</f>
        <v>1.0003858573573232</v>
      </c>
      <c r="E28" s="161">
        <f>E29*$K$17+E30*$K$18+E31*$K$19+E32*$K$20</f>
        <v>1.8221009180553147</v>
      </c>
      <c r="F28" s="161">
        <f>F29*$K$17+F30*$K$18+F31*$K$19+F32*$K$20</f>
        <v>0.9055821552450432</v>
      </c>
      <c r="G28" s="161">
        <f>G29*$K$17+G30*$K$18+G31*$K$19+G32*$K$20</f>
        <v>1.4525477052514266</v>
      </c>
      <c r="H28" s="161">
        <f>H29*$K$17+H30*$K$18+H31*$K$19+H32*$K$20</f>
        <v>1.1880859266021606</v>
      </c>
      <c r="I28" s="161">
        <f>I29*$K$17+I30*$K$18+I31*$K$19+I32*$K$20</f>
        <v>1.571437088823187</v>
      </c>
      <c r="J28" s="161">
        <f>J29*$K$17+J30*$K$18+J31*$K$19+J32*$K$20</f>
        <v>1.3076117833201708</v>
      </c>
      <c r="K28" s="144" t="s">
        <v>43</v>
      </c>
      <c r="L28" s="167"/>
    </row>
    <row r="29" spans="1:12" ht="15">
      <c r="A29" s="141" t="s">
        <v>30</v>
      </c>
      <c r="B29" s="161">
        <f aca="true" t="shared" si="9" ref="B29:J29">B22*B24/$J$22*$J$24</f>
        <v>1.0281645578727046</v>
      </c>
      <c r="C29" s="161">
        <f t="shared" si="9"/>
        <v>1.0228907861165712</v>
      </c>
      <c r="D29" s="161">
        <f t="shared" si="9"/>
        <v>1.5445792566220573</v>
      </c>
      <c r="E29" s="161">
        <f t="shared" si="9"/>
        <v>2.6083293884098744</v>
      </c>
      <c r="F29" s="161">
        <f t="shared" si="9"/>
        <v>1.262084034601375</v>
      </c>
      <c r="G29" s="161">
        <f t="shared" si="9"/>
        <v>1.4282366402712738</v>
      </c>
      <c r="H29" s="161">
        <f t="shared" si="9"/>
        <v>1.5908084336957027</v>
      </c>
      <c r="I29" s="161">
        <f t="shared" si="9"/>
        <v>1.4081146908512936</v>
      </c>
      <c r="J29" s="161">
        <f t="shared" si="9"/>
        <v>1.4299864005118104</v>
      </c>
      <c r="K29" s="141" t="s">
        <v>44</v>
      </c>
      <c r="L29" s="167"/>
    </row>
    <row r="30" spans="1:12" ht="15">
      <c r="A30" s="141" t="s">
        <v>31</v>
      </c>
      <c r="B30" s="161">
        <f aca="true" t="shared" si="10" ref="B30:J30">B24*B27/$J$24*$J$27</f>
        <v>0.9519390199009348</v>
      </c>
      <c r="C30" s="161">
        <f t="shared" si="10"/>
        <v>1.1848792095430791</v>
      </c>
      <c r="D30" s="161">
        <f t="shared" si="10"/>
        <v>0.603866662163916</v>
      </c>
      <c r="E30" s="161">
        <f t="shared" si="10"/>
        <v>0.8987462457481022</v>
      </c>
      <c r="F30" s="161">
        <f t="shared" si="10"/>
        <v>0.6129906007627959</v>
      </c>
      <c r="G30" s="161">
        <f t="shared" si="10"/>
        <v>1.3124704639164122</v>
      </c>
      <c r="H30" s="161">
        <f t="shared" si="10"/>
        <v>0.6870053879143247</v>
      </c>
      <c r="I30" s="161">
        <f t="shared" si="10"/>
        <v>1.3694806186456003</v>
      </c>
      <c r="J30" s="161">
        <f t="shared" si="10"/>
        <v>1</v>
      </c>
      <c r="K30" s="141" t="s">
        <v>45</v>
      </c>
      <c r="L30" s="167"/>
    </row>
    <row r="31" spans="1:12" ht="18">
      <c r="A31" s="141" t="s">
        <v>66</v>
      </c>
      <c r="B31" s="219">
        <f aca="true" t="shared" si="11" ref="B31:J31">(B19*B4)/($J$19*$J$4)</f>
        <v>0</v>
      </c>
      <c r="C31" s="219">
        <f t="shared" si="11"/>
        <v>0</v>
      </c>
      <c r="D31" s="219">
        <f t="shared" si="11"/>
        <v>0</v>
      </c>
      <c r="E31" s="219">
        <f t="shared" si="11"/>
        <v>0</v>
      </c>
      <c r="F31" s="219">
        <f t="shared" si="11"/>
        <v>0</v>
      </c>
      <c r="G31" s="219">
        <f t="shared" si="11"/>
        <v>0</v>
      </c>
      <c r="H31" s="219">
        <f t="shared" si="11"/>
        <v>0.036570536995750864</v>
      </c>
      <c r="I31" s="219">
        <f t="shared" si="11"/>
        <v>0</v>
      </c>
      <c r="J31" s="219">
        <f t="shared" si="11"/>
        <v>1</v>
      </c>
      <c r="K31" s="65" t="s">
        <v>67</v>
      </c>
      <c r="L31" s="167"/>
    </row>
    <row r="32" spans="1:12" ht="15">
      <c r="A32" s="141" t="s">
        <v>63</v>
      </c>
      <c r="B32" s="161">
        <f>B22*B24*B27/$J22*$J$24*$J$27</f>
        <v>1.086504757115269</v>
      </c>
      <c r="C32" s="161">
        <f>C22*C24*C27/$J$22*J24*J$27</f>
        <v>1.3928391198831227</v>
      </c>
      <c r="D32" s="161">
        <f>D22*D24*D27/J22*$J$24*$J27</f>
        <v>0.8021592111561275</v>
      </c>
      <c r="E32" s="161">
        <f>E22*E24*E27/$J$22*J24*J27</f>
        <v>1.8146277284364565</v>
      </c>
      <c r="F32" s="161">
        <f>F22*F24*F27/J$22*$J24*J27</f>
        <v>0.8115832934086809</v>
      </c>
      <c r="G32" s="161">
        <f>G22*G24*G27/J22*J24*J$27</f>
        <v>1.6470894360203914</v>
      </c>
      <c r="H32" s="161">
        <f>H22*H24*H27/$J$22*$J$24*$J$27</f>
        <v>1.21514678757848</v>
      </c>
      <c r="I32" s="161">
        <f>I22*I24*I27/$J$22*$J$24*$J$27</f>
        <v>1.9554775864465737</v>
      </c>
      <c r="J32" s="161">
        <f>J22*J24*J27/$J$22*$J$24*$J$27</f>
        <v>1.4299864005118104</v>
      </c>
      <c r="K32" s="141"/>
      <c r="L32" s="167"/>
    </row>
    <row r="33" spans="1:12" ht="15">
      <c r="A33" s="151" t="s">
        <v>68</v>
      </c>
      <c r="B33" s="162">
        <f>B14/B28</f>
        <v>0.9711654735931795</v>
      </c>
      <c r="C33" s="162">
        <f aca="true" t="shared" si="12" ref="C33:I33">C14/C28</f>
        <v>0.7696998395739156</v>
      </c>
      <c r="D33" s="162">
        <f t="shared" si="12"/>
        <v>0.7123150236320149</v>
      </c>
      <c r="E33" s="162">
        <f t="shared" si="12"/>
        <v>0.4906254326042983</v>
      </c>
      <c r="F33" s="162">
        <f t="shared" si="12"/>
        <v>0.8584722551256785</v>
      </c>
      <c r="G33" s="162">
        <f t="shared" si="12"/>
        <v>0.9178912229445901</v>
      </c>
      <c r="H33" s="162">
        <f t="shared" si="12"/>
        <v>0.6032079647059349</v>
      </c>
      <c r="I33" s="162">
        <f t="shared" si="12"/>
        <v>0.9980519106603528</v>
      </c>
      <c r="J33" s="163">
        <f>(B33+I33+E33+H33)/4</f>
        <v>0.7657626953909414</v>
      </c>
      <c r="K33" s="144" t="s">
        <v>69</v>
      </c>
      <c r="L33" s="167"/>
    </row>
    <row r="34" spans="1:12" ht="15" hidden="1">
      <c r="A34" s="151" t="s">
        <v>68</v>
      </c>
      <c r="B34" s="162">
        <f aca="true" t="shared" si="13" ref="B34:I34">B14/B28</f>
        <v>0.9711654735931795</v>
      </c>
      <c r="C34" s="162">
        <f t="shared" si="13"/>
        <v>0.7696998395739156</v>
      </c>
      <c r="D34" s="162">
        <f t="shared" si="13"/>
        <v>0.7123150236320149</v>
      </c>
      <c r="E34" s="162">
        <f t="shared" si="13"/>
        <v>0.4906254326042983</v>
      </c>
      <c r="F34" s="162">
        <f t="shared" si="13"/>
        <v>0.8584722551256785</v>
      </c>
      <c r="G34" s="162">
        <f t="shared" si="13"/>
        <v>0.9178912229445901</v>
      </c>
      <c r="H34" s="162">
        <f t="shared" si="13"/>
        <v>0.6032079647059349</v>
      </c>
      <c r="I34" s="162">
        <f t="shared" si="13"/>
        <v>0.9980519106603528</v>
      </c>
      <c r="J34" s="163">
        <f>(E34+I34)/2</f>
        <v>0.7443386716323256</v>
      </c>
      <c r="K34" s="144" t="s">
        <v>70</v>
      </c>
      <c r="L34" s="167"/>
    </row>
    <row r="35" spans="1:12" ht="31.5" thickBot="1">
      <c r="A35" s="205" t="s">
        <v>48</v>
      </c>
      <c r="B35" s="206"/>
      <c r="C35" s="206"/>
      <c r="D35" s="206"/>
      <c r="E35" s="206"/>
      <c r="F35" s="206"/>
      <c r="G35" s="206"/>
      <c r="H35" s="206"/>
      <c r="I35" s="206"/>
      <c r="J35" s="206">
        <v>4500</v>
      </c>
      <c r="K35" s="141"/>
      <c r="L35" s="167"/>
    </row>
    <row r="36" spans="1:12" s="172" customFormat="1" ht="31.5" thickBot="1">
      <c r="A36" s="220" t="s">
        <v>71</v>
      </c>
      <c r="B36" s="217">
        <f>B37+B38</f>
        <v>118.88892529532039</v>
      </c>
      <c r="C36" s="217">
        <f aca="true" t="shared" si="14" ref="C36:I36">C37+C38</f>
        <v>1008.9619798860838</v>
      </c>
      <c r="D36" s="217">
        <f t="shared" si="14"/>
        <v>774.3274390522388</v>
      </c>
      <c r="E36" s="217">
        <f>E37+E38</f>
        <v>1161.7974467453926</v>
      </c>
      <c r="F36" s="217">
        <f t="shared" si="14"/>
        <v>340.4598661134124</v>
      </c>
      <c r="G36" s="217">
        <f t="shared" si="14"/>
        <v>364.8107725423452</v>
      </c>
      <c r="H36" s="217">
        <f t="shared" si="14"/>
        <v>723.9658730397836</v>
      </c>
      <c r="I36" s="217">
        <f t="shared" si="14"/>
        <v>6.78769732542481</v>
      </c>
      <c r="J36" s="218">
        <f>SUM(B36:I36)</f>
        <v>4500.000000000002</v>
      </c>
      <c r="K36" s="204" t="s">
        <v>72</v>
      </c>
      <c r="L36" s="184">
        <v>1</v>
      </c>
    </row>
    <row r="37" spans="1:12" ht="15">
      <c r="A37" s="207" t="s">
        <v>73</v>
      </c>
      <c r="B37" s="208">
        <f aca="true" t="shared" si="15" ref="B37:I37">($J$35-$J$38)*B42/$J$42</f>
        <v>118.88892529532039</v>
      </c>
      <c r="C37" s="208">
        <f t="shared" si="15"/>
        <v>1008.9619798860838</v>
      </c>
      <c r="D37" s="208">
        <f t="shared" si="15"/>
        <v>750.275599230591</v>
      </c>
      <c r="E37" s="208">
        <f t="shared" si="15"/>
        <v>1011.2493742429327</v>
      </c>
      <c r="F37" s="208">
        <f t="shared" si="15"/>
        <v>340.4598661134124</v>
      </c>
      <c r="G37" s="208">
        <f t="shared" si="15"/>
        <v>364.8107725423452</v>
      </c>
      <c r="H37" s="208">
        <f t="shared" si="15"/>
        <v>655.2631795834408</v>
      </c>
      <c r="I37" s="208">
        <f t="shared" si="15"/>
        <v>6.78769732542481</v>
      </c>
      <c r="J37" s="208">
        <f>SUM(B37:I37)</f>
        <v>4256.697394219551</v>
      </c>
      <c r="K37" s="144" t="s">
        <v>90</v>
      </c>
      <c r="L37" s="167"/>
    </row>
    <row r="38" spans="1:12" ht="15">
      <c r="A38" s="141" t="s">
        <v>75</v>
      </c>
      <c r="B38" s="164"/>
      <c r="C38" s="164"/>
      <c r="D38" s="164">
        <f>D40*D39</f>
        <v>24.051839821647793</v>
      </c>
      <c r="E38" s="164">
        <f>E40*E39</f>
        <v>150.54807250245986</v>
      </c>
      <c r="F38" s="164"/>
      <c r="G38" s="164"/>
      <c r="H38" s="164">
        <f>H40*H39</f>
        <v>68.70269345634274</v>
      </c>
      <c r="I38" s="164"/>
      <c r="J38" s="164">
        <f>SUM(B38:I38)</f>
        <v>243.3026057804504</v>
      </c>
      <c r="K38" s="141" t="s">
        <v>76</v>
      </c>
      <c r="L38" s="167"/>
    </row>
    <row r="39" spans="1:12" ht="15">
      <c r="A39" s="144" t="s">
        <v>91</v>
      </c>
      <c r="B39" s="161">
        <v>0.1</v>
      </c>
      <c r="C39" s="161">
        <v>0.1</v>
      </c>
      <c r="D39" s="161">
        <v>0.1</v>
      </c>
      <c r="E39" s="161">
        <v>0.1</v>
      </c>
      <c r="F39" s="161">
        <v>0.1</v>
      </c>
      <c r="G39" s="161">
        <v>0.1</v>
      </c>
      <c r="H39" s="161">
        <v>0.1</v>
      </c>
      <c r="I39" s="161">
        <v>0.1</v>
      </c>
      <c r="J39" s="161">
        <v>0.1</v>
      </c>
      <c r="K39" s="141" t="s">
        <v>78</v>
      </c>
      <c r="L39" s="167"/>
    </row>
    <row r="40" spans="1:12" ht="30.75">
      <c r="A40" s="144" t="s">
        <v>94</v>
      </c>
      <c r="B40" s="164">
        <f aca="true" t="shared" si="16" ref="B40:I40">($J$43/$J$4)*($J$34-B34)*B28*B4</f>
        <v>-2665.394139398428</v>
      </c>
      <c r="C40" s="164">
        <f t="shared" si="16"/>
        <v>-316.6564225742643</v>
      </c>
      <c r="D40" s="164">
        <f t="shared" si="16"/>
        <v>240.51839821647792</v>
      </c>
      <c r="E40" s="164">
        <f t="shared" si="16"/>
        <v>1505.4807250245985</v>
      </c>
      <c r="F40" s="164">
        <f t="shared" si="16"/>
        <v>-782.4854682026955</v>
      </c>
      <c r="G40" s="164">
        <f t="shared" si="16"/>
        <v>-2197.5945185210653</v>
      </c>
      <c r="H40" s="164">
        <f t="shared" si="16"/>
        <v>687.0269345634274</v>
      </c>
      <c r="I40" s="164">
        <f t="shared" si="16"/>
        <v>-2519.38893946563</v>
      </c>
      <c r="J40" s="165">
        <f>SUM(B40:I40)</f>
        <v>-6048.493430357579</v>
      </c>
      <c r="K40" s="144" t="s">
        <v>80</v>
      </c>
      <c r="L40" s="167"/>
    </row>
    <row r="41" spans="1:12" ht="30.75">
      <c r="A41" s="144" t="s">
        <v>81</v>
      </c>
      <c r="B41" s="164">
        <f aca="true" t="shared" si="17" ref="B41:J41">B33+B38/(B28*B4*($J$12+$J$38)/$J$4)</f>
        <v>0.9711654735931795</v>
      </c>
      <c r="C41" s="164">
        <f t="shared" si="17"/>
        <v>0.7696998395739156</v>
      </c>
      <c r="D41" s="164">
        <f t="shared" si="17"/>
        <v>0.7153037064267879</v>
      </c>
      <c r="E41" s="164">
        <f t="shared" si="17"/>
        <v>0.5143038215336863</v>
      </c>
      <c r="F41" s="164">
        <f t="shared" si="17"/>
        <v>0.8584722551256785</v>
      </c>
      <c r="G41" s="164">
        <f t="shared" si="17"/>
        <v>0.9178912229445901</v>
      </c>
      <c r="H41" s="164">
        <f t="shared" si="17"/>
        <v>0.6163793221852873</v>
      </c>
      <c r="I41" s="164">
        <f t="shared" si="17"/>
        <v>0.9980519106603528</v>
      </c>
      <c r="J41" s="164">
        <f t="shared" si="17"/>
        <v>0.7686743952270028</v>
      </c>
      <c r="K41" s="144" t="s">
        <v>98</v>
      </c>
      <c r="L41" s="167"/>
    </row>
    <row r="42" spans="1:12" ht="30.75">
      <c r="A42" s="144" t="s">
        <v>92</v>
      </c>
      <c r="B42" s="164">
        <f aca="true" t="shared" si="18" ref="B42:I42">($J$43/$J$4)*(1-B41)*B28*B4</f>
        <v>338.82846750329077</v>
      </c>
      <c r="C42" s="164">
        <f t="shared" si="18"/>
        <v>2875.4994677989916</v>
      </c>
      <c r="D42" s="164">
        <f t="shared" si="18"/>
        <v>2138.254096089642</v>
      </c>
      <c r="E42" s="164">
        <f t="shared" si="18"/>
        <v>2882.0184461023246</v>
      </c>
      <c r="F42" s="164">
        <f t="shared" si="18"/>
        <v>970.2963871112028</v>
      </c>
      <c r="G42" s="164">
        <f t="shared" si="18"/>
        <v>1039.6954525593628</v>
      </c>
      <c r="H42" s="164">
        <f t="shared" si="18"/>
        <v>1867.4726716394152</v>
      </c>
      <c r="I42" s="164">
        <f t="shared" si="18"/>
        <v>19.34465364992579</v>
      </c>
      <c r="J42" s="164">
        <f>SUM(B42:I42)</f>
        <v>12131.409642454153</v>
      </c>
      <c r="K42" s="144" t="s">
        <v>84</v>
      </c>
      <c r="L42" s="167"/>
    </row>
    <row r="43" spans="1:12" ht="15">
      <c r="A43" s="188" t="s">
        <v>53</v>
      </c>
      <c r="B43" s="194">
        <v>12153.7</v>
      </c>
      <c r="C43" s="194">
        <v>11725.7</v>
      </c>
      <c r="D43" s="194">
        <v>4366.6</v>
      </c>
      <c r="E43" s="194">
        <v>2804.4</v>
      </c>
      <c r="F43" s="194">
        <v>5308.5</v>
      </c>
      <c r="G43" s="194">
        <v>11137.3</v>
      </c>
      <c r="H43" s="194">
        <v>2495.3</v>
      </c>
      <c r="I43" s="194">
        <v>9647.5</v>
      </c>
      <c r="J43" s="194">
        <f>SUM(B43:I43)</f>
        <v>59639</v>
      </c>
      <c r="K43" s="170"/>
      <c r="L43" s="177">
        <v>1</v>
      </c>
    </row>
    <row r="44" spans="1:12" ht="15.75" thickBot="1">
      <c r="A44" s="210" t="s">
        <v>54</v>
      </c>
      <c r="B44" s="211">
        <f aca="true" t="shared" si="19" ref="B44:J44">B43/B4*1000</f>
        <v>1829.549902152642</v>
      </c>
      <c r="C44" s="211">
        <f t="shared" si="19"/>
        <v>1941.341059602649</v>
      </c>
      <c r="D44" s="211">
        <f t="shared" si="19"/>
        <v>1016.6705471478464</v>
      </c>
      <c r="E44" s="211">
        <f t="shared" si="19"/>
        <v>1505.3140096618358</v>
      </c>
      <c r="F44" s="211">
        <f t="shared" si="19"/>
        <v>1225.698453013161</v>
      </c>
      <c r="G44" s="211">
        <f t="shared" si="19"/>
        <v>2233.2664928814916</v>
      </c>
      <c r="H44" s="211">
        <f t="shared" si="19"/>
        <v>1064.547781569966</v>
      </c>
      <c r="I44" s="211">
        <f t="shared" si="19"/>
        <v>2668.741355463347</v>
      </c>
      <c r="J44" s="211">
        <f t="shared" si="19"/>
        <v>1748.0215721906325</v>
      </c>
      <c r="K44" s="152" t="s">
        <v>55</v>
      </c>
      <c r="L44" s="167"/>
    </row>
    <row r="45" spans="1:12" ht="15.75" thickBot="1">
      <c r="A45" s="213" t="s">
        <v>56</v>
      </c>
      <c r="B45" s="214">
        <f aca="true" t="shared" si="20" ref="B45:J45">B11+B36</f>
        <v>2285.216046756133</v>
      </c>
      <c r="C45" s="214">
        <f t="shared" si="20"/>
        <v>2978.646732802433</v>
      </c>
      <c r="D45" s="214">
        <f>D11+D36</f>
        <v>2174.955918154179</v>
      </c>
      <c r="E45" s="214">
        <f t="shared" si="20"/>
        <v>1769.335316726048</v>
      </c>
      <c r="F45" s="214">
        <f t="shared" si="20"/>
        <v>1752.8281881135297</v>
      </c>
      <c r="G45" s="214">
        <f t="shared" si="20"/>
        <v>1991.1051206870195</v>
      </c>
      <c r="H45" s="214">
        <f t="shared" si="20"/>
        <v>1488.3600884099694</v>
      </c>
      <c r="I45" s="214">
        <f t="shared" si="20"/>
        <v>1185.6635883506901</v>
      </c>
      <c r="J45" s="215">
        <f t="shared" si="20"/>
        <v>15626.110000000002</v>
      </c>
      <c r="K45" s="209"/>
      <c r="L45" s="177">
        <v>1</v>
      </c>
    </row>
    <row r="46" spans="1:12" ht="15">
      <c r="A46" s="202"/>
      <c r="B46" s="212"/>
      <c r="C46" s="212"/>
      <c r="D46" s="212"/>
      <c r="E46" s="212"/>
      <c r="F46" s="212"/>
      <c r="G46" s="212"/>
      <c r="H46" s="212"/>
      <c r="I46" s="212"/>
      <c r="J46" s="212"/>
      <c r="K46" s="141"/>
      <c r="L46" s="167">
        <v>0</v>
      </c>
    </row>
    <row r="48" spans="1:11" s="173" customFormat="1" ht="30.75">
      <c r="A48" s="189" t="s">
        <v>95</v>
      </c>
      <c r="B48" s="180"/>
      <c r="C48" s="179"/>
      <c r="D48" s="179"/>
      <c r="E48" s="179"/>
      <c r="F48" s="179" t="s">
        <v>96</v>
      </c>
      <c r="G48" s="179"/>
      <c r="H48" s="179"/>
      <c r="I48" s="179"/>
      <c r="J48" s="179"/>
      <c r="K48" s="179"/>
    </row>
    <row r="50" ht="15">
      <c r="A50" s="166" t="s">
        <v>100</v>
      </c>
    </row>
    <row r="52" spans="2:9" ht="15">
      <c r="B52" s="196"/>
      <c r="C52" s="196"/>
      <c r="D52" s="196"/>
      <c r="E52" s="196"/>
      <c r="F52" s="196"/>
      <c r="G52" s="196"/>
      <c r="H52" s="196"/>
      <c r="I52" s="196"/>
    </row>
    <row r="53" spans="2:9" ht="15">
      <c r="B53" s="197"/>
      <c r="C53" s="197"/>
      <c r="D53" s="197"/>
      <c r="E53" s="197"/>
      <c r="F53" s="197"/>
      <c r="G53" s="197"/>
      <c r="H53" s="197"/>
      <c r="I53" s="197"/>
    </row>
    <row r="54" spans="2:9" ht="15">
      <c r="B54" s="196"/>
      <c r="C54" s="196"/>
      <c r="D54" s="196"/>
      <c r="E54" s="196"/>
      <c r="F54" s="196"/>
      <c r="G54" s="196"/>
      <c r="H54" s="196"/>
      <c r="I54" s="196"/>
    </row>
    <row r="55" spans="2:9" ht="15">
      <c r="B55" s="191"/>
      <c r="C55" s="191"/>
      <c r="D55" s="191"/>
      <c r="E55" s="191"/>
      <c r="F55" s="191"/>
      <c r="G55" s="191"/>
      <c r="H55" s="191"/>
      <c r="I55" s="191"/>
    </row>
  </sheetData>
  <sheetProtection/>
  <mergeCells count="2">
    <mergeCell ref="A2:K2"/>
    <mergeCell ref="A1:J1"/>
  </mergeCells>
  <printOptions/>
  <pageMargins left="0.42" right="0.22" top="0.747916666666667" bottom="0.36" header="0.511805555555555" footer="0.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2018-11-15T08:57:37Z</cp:lastPrinted>
  <dcterms:created xsi:type="dcterms:W3CDTF">2011-06-06T14:53:40Z</dcterms:created>
  <dcterms:modified xsi:type="dcterms:W3CDTF">2020-03-26T12:20:47Z</dcterms:modified>
  <cp:category/>
  <cp:version/>
  <cp:contentType/>
  <cp:contentStatus/>
</cp:coreProperties>
</file>